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Hanh\Downloads\Danh mục Công cụ và Tài liệu\Công cụ lập kế hoạch đầu tư\"/>
    </mc:Choice>
  </mc:AlternateContent>
  <xr:revisionPtr revIDLastSave="0" documentId="13_ncr:1_{6C9F3257-62FD-48E3-9C49-469DE7BB4133}" xr6:coauthVersionLast="47" xr6:coauthVersionMax="47" xr10:uidLastSave="{00000000-0000-0000-0000-000000000000}"/>
  <bookViews>
    <workbookView xWindow="-120" yWindow="-120" windowWidth="29040" windowHeight="15840" tabRatio="500" firstSheet="2" activeTab="6" xr2:uid="{00000000-000D-0000-FFFF-FFFF00000000}"/>
  </bookViews>
  <sheets>
    <sheet name="HƯỚNG DẪN SỬ DỤNG" sheetId="3" r:id="rId1"/>
    <sheet name="00_Triết lý đầu tư" sheetId="1" r:id="rId2"/>
    <sheet name="01_Khẩu vị rủi ro" sheetId="2" r:id="rId3"/>
    <sheet name="02_Vốn &amp; mục tiêu" sheetId="4" r:id="rId4"/>
    <sheet name="03_Phân bổ đề xuất" sheetId="5" r:id="rId5"/>
    <sheet name="04_Kiểm tra rủi ro" sheetId="6" r:id="rId6"/>
    <sheet name="05_Kịch bản thị trường" sheetId="7" r:id="rId7"/>
    <sheet name="06_Trực quan hóa" sheetId="8" r:id="rId8"/>
    <sheet name="07_Góc nhìn Đồng Cố Vấn" sheetId="9" r:id="rId9"/>
  </sheets>
  <calcPr calcId="181029" iterate="1" iterateCount="1000" iterateDelta="0.01"/>
</workbook>
</file>

<file path=xl/calcChain.xml><?xml version="1.0" encoding="utf-8"?>
<calcChain xmlns="http://schemas.openxmlformats.org/spreadsheetml/2006/main">
  <c r="B7" i="9" l="1"/>
  <c r="B6" i="9"/>
  <c r="B17" i="6"/>
  <c r="C12" i="6"/>
  <c r="E3" i="5"/>
  <c r="B13" i="4"/>
  <c r="B12" i="4"/>
  <c r="B11" i="4"/>
  <c r="C8" i="2"/>
  <c r="C7" i="2"/>
  <c r="C6" i="2"/>
  <c r="C5" i="2"/>
  <c r="B10" i="2" s="1"/>
  <c r="C4" i="2"/>
  <c r="B12" i="2" l="1"/>
  <c r="B14" i="2"/>
  <c r="A13" i="9"/>
  <c r="A15" i="9"/>
  <c r="C15" i="6"/>
  <c r="B15" i="9"/>
  <c r="B15" i="6"/>
  <c r="A14" i="9"/>
  <c r="A16" i="9"/>
  <c r="B14" i="4" l="1"/>
  <c r="B3" i="4"/>
  <c r="B3" i="5"/>
  <c r="B5" i="9"/>
  <c r="B11" i="5" l="1"/>
  <c r="B9" i="5"/>
  <c r="B7" i="5"/>
  <c r="B10" i="5"/>
  <c r="B8" i="5"/>
  <c r="B6" i="5"/>
  <c r="B7" i="7" l="1"/>
  <c r="B7" i="6"/>
  <c r="D7" i="6" s="1"/>
  <c r="C7" i="5"/>
  <c r="B10" i="7"/>
  <c r="B10" i="6"/>
  <c r="D10" i="6" s="1"/>
  <c r="C10" i="5"/>
  <c r="B6" i="7"/>
  <c r="B6" i="6"/>
  <c r="C6" i="5"/>
  <c r="C12" i="5" s="1"/>
  <c r="B12" i="5"/>
  <c r="B9" i="7"/>
  <c r="B9" i="6"/>
  <c r="D9" i="6" s="1"/>
  <c r="C9" i="5"/>
  <c r="B8" i="7"/>
  <c r="B8" i="6"/>
  <c r="D8" i="6" s="1"/>
  <c r="C8" i="5"/>
  <c r="B11" i="7"/>
  <c r="B11" i="6"/>
  <c r="D11" i="6" s="1"/>
  <c r="C11" i="5"/>
  <c r="E9" i="7" l="1"/>
  <c r="C9" i="7"/>
  <c r="D9" i="7"/>
  <c r="E6" i="7"/>
  <c r="E12" i="7" s="1"/>
  <c r="E13" i="7" s="1"/>
  <c r="C6" i="7"/>
  <c r="C12" i="7" s="1"/>
  <c r="C13" i="7" s="1"/>
  <c r="D6" i="7"/>
  <c r="D12" i="7" s="1"/>
  <c r="D13" i="7" s="1"/>
  <c r="D14" i="7" s="1"/>
  <c r="F9" i="6"/>
  <c r="E9" i="6"/>
  <c r="E10" i="7"/>
  <c r="D10" i="7"/>
  <c r="C10" i="7"/>
  <c r="F11" i="6"/>
  <c r="E11" i="6"/>
  <c r="B14" i="9"/>
  <c r="E8" i="7"/>
  <c r="C8" i="7"/>
  <c r="D8" i="7"/>
  <c r="F7" i="6"/>
  <c r="E7" i="6"/>
  <c r="B16" i="9"/>
  <c r="B12" i="6"/>
  <c r="D12" i="6" s="1"/>
  <c r="D6" i="6"/>
  <c r="F8" i="6"/>
  <c r="E8" i="6"/>
  <c r="B13" i="9"/>
  <c r="E11" i="7"/>
  <c r="C11" i="7"/>
  <c r="D11" i="7"/>
  <c r="F10" i="6"/>
  <c r="E10" i="6"/>
  <c r="E7" i="7"/>
  <c r="D7" i="7"/>
  <c r="C7" i="7"/>
  <c r="F6" i="6" l="1"/>
  <c r="E6" i="6"/>
  <c r="E12" i="6" s="1"/>
  <c r="A20" i="7"/>
  <c r="E14" i="7"/>
  <c r="C18" i="7" s="1"/>
  <c r="B18" i="7"/>
  <c r="B16" i="6"/>
  <c r="B9" i="9"/>
  <c r="B17" i="7"/>
  <c r="C14" i="7"/>
  <c r="C17" i="7" s="1"/>
</calcChain>
</file>

<file path=xl/sharedStrings.xml><?xml version="1.0" encoding="utf-8"?>
<sst xmlns="http://schemas.openxmlformats.org/spreadsheetml/2006/main" count="222" uniqueCount="205">
  <si>
    <t>ASSET ALLOCATION - PHÂN BỔ TÀI SẢN</t>
  </si>
  <si>
    <t>💡 Asset Allocation là gì?</t>
  </si>
  <si>
    <t>Asset Allocation (Phân bổ tài sản) là việc chia vốn đầu tư vào các loại tài sản khác nhau (cổ phiếu, trái phiếu, bất động sản, tiền mặt...) để tối ưu hóa lợi nhuận và giảm thiểu rủi ro phù hợp với khả năng chịu đựng của bạn.</t>
  </si>
  <si>
    <t>📊 Vì sao phân bổ quan trọng hơn chọn mã?</t>
  </si>
  <si>
    <t>Nghiên cứu chỉ ra rằng 90% lợi nhuận đầu tư dài hạn đến từ CÁCH PHÂN BỔ TÀI SẢN, chỉ 10% từ việc chọn cổ phiếu cụ thể. Một danh mục cân bằng tốt sẽ giúp bạn vượt qua mọi chu kỳ thị trường.</t>
  </si>
  <si>
    <t>⚖️ NGUYÊN TẮC VÀNG</t>
  </si>
  <si>
    <t>✅ KHÔNG CÓ DANH MỤC HOÀN HẢO</t>
  </si>
  <si>
    <t>✅ CHỈ CÓ DANH MỤC PHÙ HỢP VỚI BẠN</t>
  </si>
  <si>
    <t>Danh mục tốt nhất là danh mục bạn có thể TỰ TIN NẮM GIỮ trong mọi tình huống thị trường - kể cả khi giảm 20-30%.</t>
  </si>
  <si>
    <t>⚠️ CẢNH BÁO QUAN TRỌNG</t>
  </si>
  <si>
    <t>SAI KHẨU VỊ RỦI RO = THẤT BẠI SỚM HAY MUỘN</t>
  </si>
  <si>
    <t>Nếu bạn đầu tư quá thận trọng → bỏ lỡ cơ hội tăng trưởng</t>
  </si>
  <si>
    <t>Nếu bạn đầu tư quá mạo hiểm → bán tháo khi thị trường giảm → mất vốn</t>
  </si>
  <si>
    <t>🎯 Hãy bắt đầu với Sheet '01_Khẩu vị rủi ro' để xác định phong cách đầu tư phù hợp với bạn!</t>
  </si>
  <si>
    <t>ĐÁNH GIÁ KHẨU VỊ RỦI RO CỦA BẠN</t>
  </si>
  <si>
    <t>Tiêu chí</t>
  </si>
  <si>
    <t>Lựa chọn của bạn</t>
  </si>
  <si>
    <t>Điểm</t>
  </si>
  <si>
    <t>Giải thích</t>
  </si>
  <si>
    <t>⏱️ Thời gian đầu tư</t>
  </si>
  <si>
    <t>3-5 năm</t>
  </si>
  <si>
    <t>Thời gian bạn dự định nắm giữ đầu tư</t>
  </si>
  <si>
    <t>📊 Mức chấp nhận biến động</t>
  </si>
  <si>
    <t>10-20%</t>
  </si>
  <si>
    <t>Dao động giá bạn có thể chấp nhận</t>
  </si>
  <si>
    <t>🎓 Kinh nghiệm đầu tư</t>
  </si>
  <si>
    <t>2-5 năm</t>
  </si>
  <si>
    <t>Số năm bạn đã đầu tư</t>
  </si>
  <si>
    <t>💰 Tình trạng tài chính</t>
  </si>
  <si>
    <t>Ổn định</t>
  </si>
  <si>
    <t>Khả năng tài chính hiện tại</t>
  </si>
  <si>
    <t>😱 Phản ứng khi thị trường giảm 20%</t>
  </si>
  <si>
    <t>Giữ nguyên</t>
  </si>
  <si>
    <t>Hành động của bạn khi sụt giảm</t>
  </si>
  <si>
    <t>TỔNG ĐIỂM:</t>
  </si>
  <si>
    <t>/ 25 điểm</t>
  </si>
  <si>
    <t>KHẨU VỊ RỦI RO:</t>
  </si>
  <si>
    <t>CÂN BẰNG</t>
  </si>
  <si>
    <t>Đặc điểm:</t>
  </si>
  <si>
    <t>ĐỒNG CỐ VẤN | Financial Tools</t>
  </si>
  <si>
    <t>Hướng dẫn nhanh giúp bạn sử dụng công cụ đúng cách ngay từ lần đầu.</t>
  </si>
  <si>
    <t>📋 LƯU Ý: File này đã có DỮ LIỆU MẪU để minh họa. Hãy thay thế bằng thông tin của bạn!</t>
  </si>
  <si>
    <t>⚠️ NGUYÊN TẮC QUAN TRỌNG</t>
  </si>
  <si>
    <t>✅ Chỉ nhập dữ liệu tại các ô được đánh dấu INPUT (màu xanh nhạt)</t>
  </si>
  <si>
    <t>✅ Không chỉnh sửa ô có công thức (màu xám)</t>
  </si>
  <si>
    <t>✅ Không xóa sheet hệ thống</t>
  </si>
  <si>
    <t>✅ File đã tự động tính toán — không cần chỉnh công thức</t>
  </si>
  <si>
    <t>✅ Nên tạo bản sao trước khi sử dụng lâu dài</t>
  </si>
  <si>
    <t>📋 QUY TRÌNH SỬ DỤNG (STEP-BY-STEP)</t>
  </si>
  <si>
    <t>Bước</t>
  </si>
  <si>
    <t>Thao tác</t>
  </si>
  <si>
    <t>Sheet thực hiện</t>
  </si>
  <si>
    <t>Mô tả</t>
  </si>
  <si>
    <t>Đánh giá khẩu vị rủi ro</t>
  </si>
  <si>
    <t>01_Khẩu vị rủi ro</t>
  </si>
  <si>
    <t>Trả lời 5 câu hỏi để xác định mức độ chấp nhận rủi ro</t>
  </si>
  <si>
    <t>Nhập thông tin đầu tư</t>
  </si>
  <si>
    <t>02_Vốn &amp; mục tiêu</t>
  </si>
  <si>
    <t>Nhập tổng vốn, thời gian và mục tiêu đầu tư</t>
  </si>
  <si>
    <t>Xem phân bổ đề xuất</t>
  </si>
  <si>
    <t>03_Phân bổ đề xuất</t>
  </si>
  <si>
    <t>Hệ thống tự động tính phân bổ 6 loại tài sản</t>
  </si>
  <si>
    <t>Kiểm tra danh mục hiện tại</t>
  </si>
  <si>
    <t>04_Kiểm tra rủi ro</t>
  </si>
  <si>
    <t>Nhập danh mục hiện tại để so sánh và nhận cảnh báo</t>
  </si>
  <si>
    <t>Mô phỏng kịch bản</t>
  </si>
  <si>
    <t>05_Kịch bản thị trường</t>
  </si>
  <si>
    <t>Xem danh mục biến động trong 3 tình huống thị trường</t>
  </si>
  <si>
    <t>Đọc góc nhìn chuyên gia</t>
  </si>
  <si>
    <t>07_Góc nhìn Đồng Cố Vấn</t>
  </si>
  <si>
    <t>Nhận đánh giá và gợi ý điều chỉnh chi tiết</t>
  </si>
  <si>
    <t>🎨 QUY ƯỚC MÀU SẮC</t>
  </si>
  <si>
    <t>Màu ô</t>
  </si>
  <si>
    <t>Ý nghĩa</t>
  </si>
  <si>
    <t>Xanh nhạt</t>
  </si>
  <si>
    <t>Ô nhập dữ liệu - Bạn cần điền thông tin vào đây</t>
  </si>
  <si>
    <t>Xám</t>
  </si>
  <si>
    <t>Công thức tự động - KHÔNG chỉnh sửa</t>
  </si>
  <si>
    <t>Vàng</t>
  </si>
  <si>
    <t>Cảnh báo - Cần chú ý hoặc điều chỉnh</t>
  </si>
  <si>
    <t>Trắng</t>
  </si>
  <si>
    <t>Thông tin hiển thị - Chỉ để xem, không tương tác</t>
  </si>
  <si>
    <t>🔧 LỖI THƯỜNG GẶP &amp; CÁCH KHẮC PHỤC</t>
  </si>
  <si>
    <t>❌ File báo lỗi → Kiểm tra ô nhập liệu có đúng định dạng (số, %, ngày) không</t>
  </si>
  <si>
    <t>❌ Dashboard không cập nhật → Kiểm tra dữ liệu đầu vào đã nhập đầy đủ chưa</t>
  </si>
  <si>
    <t>❌ Công thức lỗi #REF! hoặc #VALUE! → Không được xóa/di chuyển ô hệ thống</t>
  </si>
  <si>
    <t>❌ Số liệu âm bất thường → Kiểm tra dấu âm/dương khi nhập số</t>
  </si>
  <si>
    <t>📅 TẦN SUẤT CẬP NHẬT KHUYẾN NGHỊ</t>
  </si>
  <si>
    <t>Loại dữ liệu</t>
  </si>
  <si>
    <t>Tần suất khuyến nghị</t>
  </si>
  <si>
    <t>Mỗi 6-12 tháng hoặc khi hoàn cảnh thay đổi</t>
  </si>
  <si>
    <t>Vốn đầu tư &amp; mục tiêu</t>
  </si>
  <si>
    <t>Khi có thay đổi thu nhập hoặc mục tiêu tài chính</t>
  </si>
  <si>
    <t>Danh mục hiện tại</t>
  </si>
  <si>
    <t>Hàng tháng hoặc khi có giao dịch lớn</t>
  </si>
  <si>
    <t>Kiểm tra tổng quan</t>
  </si>
  <si>
    <t>Hàng quý để tái cân bằng nếu cần</t>
  </si>
  <si>
    <t>ĐỒNG CỐ VẤN</t>
  </si>
  <si>
    <t>🌐 Website: https://dongcovan.com</t>
  </si>
  <si>
    <t>📺 YouTube: https://youtube.com/@dongcovan</t>
  </si>
  <si>
    <t>📘 Facebook: https://www.facebook.com/dongcovanofficial/</t>
  </si>
  <si>
    <t>Kiến thức tài chính đúng giúp bạn sống nhẹ đầu hơn với tiền.</t>
  </si>
  <si>
    <t>THÔNG TIN VỐN ĐẦU TƯ &amp; MỤC TIÊU</t>
  </si>
  <si>
    <t>Khẩu vị rủi ro của bạn:</t>
  </si>
  <si>
    <t>Mục thông tin</t>
  </si>
  <si>
    <t>Giá trị nhập</t>
  </si>
  <si>
    <t>Đơn vị</t>
  </si>
  <si>
    <t>Ghi chú</t>
  </si>
  <si>
    <t>💰 Tổng vốn đầu tư</t>
  </si>
  <si>
    <t>VNĐ</t>
  </si>
  <si>
    <t>Số tiền bạn dự định đầu tư</t>
  </si>
  <si>
    <t>Năm</t>
  </si>
  <si>
    <t>Bao lâu bạn giữ danh mục</t>
  </si>
  <si>
    <t>🎯 Mục tiêu chính</t>
  </si>
  <si>
    <t>Tăng trưởng ổn định</t>
  </si>
  <si>
    <t>Mục đích đầu tư của bạn</t>
  </si>
  <si>
    <t>📊 Tóm tắt:</t>
  </si>
  <si>
    <t>Với vốn</t>
  </si>
  <si>
    <t>Trong thời gian</t>
  </si>
  <si>
    <t>Mục tiêu</t>
  </si>
  <si>
    <t>Khẩu vị rủi ro</t>
  </si>
  <si>
    <t>PHÂN BỔ DANH MỤC ĐỀ XUẤT</t>
  </si>
  <si>
    <t>BẢNG PHÂN BỔ THEO RỦI RO</t>
  </si>
  <si>
    <t>Khẩu vị</t>
  </si>
  <si>
    <t>Tiền mặt</t>
  </si>
  <si>
    <t>Trái phiếu</t>
  </si>
  <si>
    <t>Cổ phiếu</t>
  </si>
  <si>
    <t>BĐS</t>
  </si>
  <si>
    <t>Rủi ro cao</t>
  </si>
  <si>
    <t>Khẩu vị rủi ro:</t>
  </si>
  <si>
    <t>Tổng vốn:</t>
  </si>
  <si>
    <t>RẤT THẬN TRỌNG</t>
  </si>
  <si>
    <t>THẬN TRỌNG</t>
  </si>
  <si>
    <t>Loại tài sản</t>
  </si>
  <si>
    <t>Tỷ trọng %</t>
  </si>
  <si>
    <t>Giá trị (VNĐ)</t>
  </si>
  <si>
    <t>Vai trò</t>
  </si>
  <si>
    <t>Đặc điểm</t>
  </si>
  <si>
    <t>💵 Tiền mặt / Tiết kiệm</t>
  </si>
  <si>
    <t>Thanh khoản, chi tiêu</t>
  </si>
  <si>
    <t>An toàn tuyệt đối</t>
  </si>
  <si>
    <t>TĂNG TRƯỞNG</t>
  </si>
  <si>
    <t>📜 Trái phiếu</t>
  </si>
  <si>
    <t>Thu nhập ổn định</t>
  </si>
  <si>
    <t>Rủi ro thấp, lợi nhuận vừa</t>
  </si>
  <si>
    <t>MẠO HIỂM</t>
  </si>
  <si>
    <t>📈 Cổ phiếu</t>
  </si>
  <si>
    <t>Tăng trưởng dài hạn</t>
  </si>
  <si>
    <t>Rủi ro cao, tiềm năng lớn</t>
  </si>
  <si>
    <t>🏠 Bất động sản</t>
  </si>
  <si>
    <t>Chống lạm phát</t>
  </si>
  <si>
    <t>Ổn định, thanh khoản thấp</t>
  </si>
  <si>
    <t>🥇 Vàng / Hàng hóa</t>
  </si>
  <si>
    <t>Bảo toàn giá trị</t>
  </si>
  <si>
    <t>Phòng ngừa khủng hoảng</t>
  </si>
  <si>
    <t>⚡ Tài sản rủi ro cao</t>
  </si>
  <si>
    <t>Tối đa lợi nhuận</t>
  </si>
  <si>
    <t>Crypto, Startup - Rủi ro rất cao</t>
  </si>
  <si>
    <t>TỔNG CỘNG</t>
  </si>
  <si>
    <t>KIỂM TRA VÀ SO SÁNH DANH MỤC</t>
  </si>
  <si>
    <t>📝 Hướng dẫn: Nhập tỷ trọng % danh mục HIỆN TẠI của bạn vào cột C để so sánh với đề xuất</t>
  </si>
  <si>
    <t>Đề xuất %</t>
  </si>
  <si>
    <t>Hiện tại %</t>
  </si>
  <si>
    <t>Chênh lệch</t>
  </si>
  <si>
    <t>Giá trị chênh lệch (VNĐ)</t>
  </si>
  <si>
    <t>Cảnh báo</t>
  </si>
  <si>
    <t>🔍 ĐÁNH GIÁ TỔNG QUAN:</t>
  </si>
  <si>
    <t>Tổng tỷ trọng hiện tại:</t>
  </si>
  <si>
    <t>Mức độ lệch:</t>
  </si>
  <si>
    <t>Thanh khoản:</t>
  </si>
  <si>
    <t>MÔ PHỎNG KỊCH BẢN THỊ TRƯỜNG</t>
  </si>
  <si>
    <t>📊 Xem danh mục của bạn sẽ biến động như thế nào trong các tình huống thị trường khác nhau</t>
  </si>
  <si>
    <t>🟢 Tăng mạnh (+20%)</t>
  </si>
  <si>
    <t>🟡 Đi ngang (0%)</t>
  </si>
  <si>
    <t>🔴 Giảm sâu (-30%)</t>
  </si>
  <si>
    <t>💵 Tiền mặt</t>
  </si>
  <si>
    <t>🥇 Vàng</t>
  </si>
  <si>
    <t>⚡ Rủi ro cao</t>
  </si>
  <si>
    <t>GIÁ TRỊ DANH MỤC SAU BIẾN ĐỘNG</t>
  </si>
  <si>
    <t>BIẾN ĐỘNG SO VỚI BAN ĐẦU</t>
  </si>
  <si>
    <t>GIÁ TRỊ THAY ĐỔI (VNĐ)</t>
  </si>
  <si>
    <t>📈 PHÂN TÍCH:</t>
  </si>
  <si>
    <t>Kịch bản TỐT NHẤT:</t>
  </si>
  <si>
    <t>Kịch bản XẤU NHẤT:</t>
  </si>
  <si>
    <t>⚠️ MỨC RỦI RO TỐI ĐA:</t>
  </si>
  <si>
    <t>TRỰC QUAN HÓA DANH MỤC</t>
  </si>
  <si>
    <t>📊 BIỂU ĐỒ PHÂN BỔ DANH MỤC</t>
  </si>
  <si>
    <t>(Biểu đồ tròn sẽ được tạo ở bước tiếp theo)</t>
  </si>
  <si>
    <t>📊 BIỂU ĐỒ SO SÁNH</t>
  </si>
  <si>
    <t>(Biểu đồ cột so sánh đề xuất vs hiện tại sẽ được tạo ở bước tiếp theo)</t>
  </si>
  <si>
    <t>GÓC NHÌN CHUYÊN GIA - ĐỒNG CỐ VẤN</t>
  </si>
  <si>
    <t>💼 ĐÁNH GIÁ DANH MỤC</t>
  </si>
  <si>
    <t>Tổng vốn đầu tư:</t>
  </si>
  <si>
    <t>Mục tiêu:</t>
  </si>
  <si>
    <t>Kết luận:</t>
  </si>
  <si>
    <t>📌 GỢI Ý ĐIỀU CHỈNH</t>
  </si>
  <si>
    <t>🔄 KHI NÀO NÊN TÁI CÂN BẰNG</t>
  </si>
  <si>
    <t>✅ Định kỳ:</t>
  </si>
  <si>
    <t>Mỗi 6 tháng hoặc 1 năm - rà soát và điều chỉnh về tỷ trọng mục tiêu</t>
  </si>
  <si>
    <t>✅ Khi thị trường biến động mạnh:</t>
  </si>
  <si>
    <t>Thị trường tăng/giảm &gt;20% - một số tài sản sẽ chiếm tỷ trọng quá lớn/nhỏ</t>
  </si>
  <si>
    <t>✅ Khi hoàn cảnh thay đổi:</t>
  </si>
  <si>
    <t>Thay đổi mục tiêu tài chính, thu nhập, tuổi tác, khẩu vị rủi ro</t>
  </si>
  <si>
    <t>💡 LƯU Ý:</t>
  </si>
  <si>
    <t>Tái cân bằng giúp duy trì mức rủi ro phù hợp và tận dụng cơ hội mua thấp bán cao tự động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</si>
</sst>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scheme val="minor"/>
    </font>
    <font>
      <b/>
      <sz val="18"/>
      <color rgb="FFFFFFFF"/>
      <name val="Arial"/>
      <family val="2"/>
    </font>
    <font>
      <b/>
      <sz val="14"/>
      <name val="Arial"/>
      <family val="2"/>
    </font>
    <font>
      <b/>
      <sz val="12"/>
      <color rgb="FF0B5394"/>
      <name val="Arial"/>
      <family val="2"/>
    </font>
    <font>
      <i/>
      <sz val="11"/>
      <name val="Arial"/>
      <family val="2"/>
    </font>
    <font>
      <b/>
      <sz val="13"/>
      <color rgb="FFCC0000"/>
      <name val="Arial"/>
      <family val="2"/>
    </font>
    <font>
      <sz val="11"/>
      <color rgb="FF990000"/>
      <name val="Calibri"/>
      <family val="2"/>
      <scheme val="minor"/>
    </font>
    <font>
      <b/>
      <sz val="16"/>
      <color rgb="FFFFFFFF"/>
      <name val="Arial"/>
      <family val="2"/>
    </font>
    <font>
      <b/>
      <sz val="11"/>
      <color rgb="FFFFFFFF"/>
      <name val="Arial"/>
      <family val="2"/>
    </font>
    <font>
      <sz val="11"/>
      <name val="Calibri"/>
      <family val="2"/>
      <scheme val="minor"/>
    </font>
    <font>
      <b/>
      <sz val="12"/>
      <name val="Arial"/>
      <family val="2"/>
    </font>
    <font>
      <b/>
      <sz val="13"/>
      <name val="Arial"/>
      <family val="2"/>
    </font>
    <font>
      <b/>
      <sz val="16"/>
      <color rgb="FF0B5394"/>
      <name val="Arial"/>
      <family val="2"/>
    </font>
    <font>
      <b/>
      <sz val="16"/>
      <name val="Arial"/>
      <family val="2"/>
    </font>
    <font>
      <b/>
      <sz val="20"/>
      <color rgb="FFFFFFFF"/>
      <name val="Arial"/>
      <family val="2"/>
    </font>
    <font>
      <i/>
      <sz val="11"/>
      <color rgb="FF1F4788"/>
      <name val="Arial"/>
      <family val="2"/>
    </font>
    <font>
      <b/>
      <i/>
      <sz val="11"/>
      <color rgb="FF0B5394"/>
      <name val="Aptos Narrow"/>
      <family val="2"/>
    </font>
    <font>
      <b/>
      <sz val="14"/>
      <color rgb="FFBF6900"/>
      <name val="Arial"/>
      <family val="2"/>
    </font>
    <font>
      <sz val="11"/>
      <name val="Arial"/>
      <family val="2"/>
    </font>
    <font>
      <b/>
      <sz val="14"/>
      <color rgb="FF0B5394"/>
      <name val="Arial"/>
      <family val="2"/>
    </font>
    <font>
      <b/>
      <sz val="11"/>
      <color rgb="FFFFFFFF"/>
      <name val="Arial"/>
      <family val="2"/>
    </font>
    <font>
      <b/>
      <sz val="11"/>
      <name val="Arial"/>
      <family val="2"/>
    </font>
    <font>
      <i/>
      <sz val="11"/>
      <color rgb="FF0B5394"/>
      <name val="Arial"/>
      <family val="2"/>
    </font>
    <font>
      <b/>
      <sz val="14"/>
      <color rgb="FF990000"/>
      <name val="Arial"/>
      <family val="2"/>
    </font>
    <font>
      <b/>
      <sz val="14"/>
      <color rgb="FF674EA7"/>
      <name val="Arial"/>
      <family val="2"/>
    </font>
    <font>
      <b/>
      <sz val="16"/>
      <color rgb="FF1F4788"/>
      <name val="Arial"/>
      <family val="2"/>
    </font>
    <font>
      <u/>
      <sz val="11"/>
      <color rgb="FF0563C1"/>
      <name val="Arial"/>
      <family val="2"/>
    </font>
    <font>
      <i/>
      <sz val="10"/>
      <color rgb="FF666666"/>
      <name val="Arial"/>
      <family val="2"/>
    </font>
    <font>
      <b/>
      <sz val="11"/>
      <color rgb="FF0B5394"/>
      <name val="Arial"/>
      <family val="2"/>
    </font>
    <font>
      <b/>
      <sz val="14"/>
      <color rgb="FFFFFFFF"/>
      <name val="Arial"/>
      <family val="2"/>
    </font>
  </fonts>
  <fills count="17">
    <fill>
      <patternFill patternType="none"/>
    </fill>
    <fill>
      <patternFill patternType="gray125"/>
    </fill>
    <fill>
      <patternFill patternType="solid">
        <fgColor rgb="FF1F4788"/>
      </patternFill>
    </fill>
    <fill>
      <patternFill patternType="solid">
        <fgColor rgb="FFFFF2CC"/>
      </patternFill>
    </fill>
    <fill>
      <patternFill patternType="solid">
        <fgColor rgb="FFD9EAD3"/>
      </patternFill>
    </fill>
    <fill>
      <patternFill patternType="solid">
        <fgColor rgb="FF4A86E8"/>
      </patternFill>
    </fill>
    <fill>
      <patternFill patternType="solid">
        <fgColor rgb="FFE8F0FE"/>
      </patternFill>
    </fill>
    <fill>
      <patternFill patternType="solid">
        <fgColor rgb="FFB6D7A8"/>
      </patternFill>
    </fill>
    <fill>
      <patternFill patternType="solid">
        <fgColor rgb="FFFFF9E6"/>
      </patternFill>
    </fill>
    <fill>
      <patternFill patternType="solid">
        <fgColor rgb="FFFCE5CD"/>
      </patternFill>
    </fill>
    <fill>
      <patternFill patternType="solid">
        <fgColor rgb="FFD0E0E3"/>
      </patternFill>
    </fill>
    <fill>
      <patternFill patternType="solid">
        <fgColor rgb="FFF3F3F3"/>
      </patternFill>
    </fill>
    <fill>
      <patternFill patternType="solid">
        <fgColor rgb="FFFFFFFF"/>
      </patternFill>
    </fill>
    <fill>
      <patternFill patternType="solid">
        <fgColor rgb="FFF4CCCC"/>
      </patternFill>
    </fill>
    <fill>
      <patternFill patternType="solid">
        <fgColor rgb="FFF9F9F9"/>
      </patternFill>
    </fill>
    <fill>
      <patternFill patternType="solid">
        <fgColor rgb="FFD9D2E9"/>
      </patternFill>
    </fill>
    <fill>
      <patternFill patternType="solid">
        <fgColor rgb="FFCFE2F3"/>
      </patternFill>
    </fill>
  </fills>
  <borders count="7">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CCCCCC"/>
      </left>
      <right style="thin">
        <color rgb="FFCCCCCC"/>
      </right>
      <top style="thin">
        <color rgb="FFCCCCCC"/>
      </top>
      <bottom style="thin">
        <color rgb="FFCCCCCC"/>
      </bottom>
      <diagonal/>
    </border>
    <border>
      <left style="thin">
        <color rgb="FF000000"/>
      </left>
      <right style="thin">
        <color rgb="FF000000"/>
      </right>
      <top style="thin">
        <color rgb="FF000000"/>
      </top>
      <bottom style="thin">
        <color rgb="FF000000"/>
      </bottom>
      <diagonal/>
    </border>
    <border>
      <left/>
      <right/>
      <top style="thick">
        <color rgb="FF000000"/>
      </top>
      <bottom/>
      <diagonal/>
    </border>
    <border>
      <left/>
      <right/>
      <top style="medium">
        <color rgb="FF000000"/>
      </top>
      <bottom/>
      <diagonal/>
    </border>
  </borders>
  <cellStyleXfs count="1">
    <xf numFmtId="0" fontId="0" fillId="0" borderId="1">
      <alignment vertical="top"/>
    </xf>
  </cellStyleXfs>
  <cellXfs count="66">
    <xf numFmtId="0" fontId="0" fillId="0" borderId="1" xfId="0">
      <alignment vertical="top"/>
    </xf>
    <xf numFmtId="0" fontId="2" fillId="0" borderId="0" xfId="0" applyFont="1" applyBorder="1">
      <alignment vertical="top"/>
    </xf>
    <xf numFmtId="0" fontId="3" fillId="0" borderId="0" xfId="0" applyFont="1" applyBorder="1">
      <alignment vertical="top"/>
    </xf>
    <xf numFmtId="0" fontId="4" fillId="0" borderId="0" xfId="0" applyFont="1" applyBorder="1">
      <alignment vertical="top"/>
    </xf>
    <xf numFmtId="0" fontId="5" fillId="3" borderId="0" xfId="0" applyFont="1" applyFill="1" applyBorder="1">
      <alignment vertical="top"/>
    </xf>
    <xf numFmtId="0" fontId="6" fillId="0" borderId="0" xfId="0" applyFont="1" applyBorder="1">
      <alignment vertical="top"/>
    </xf>
    <xf numFmtId="0" fontId="3" fillId="4" borderId="0" xfId="0" applyFont="1" applyFill="1" applyBorder="1">
      <alignment vertical="top"/>
    </xf>
    <xf numFmtId="0" fontId="8" fillId="5" borderId="0" xfId="0" applyFont="1" applyFill="1" applyBorder="1" applyAlignment="1">
      <alignment horizontal="center" vertical="top"/>
    </xf>
    <xf numFmtId="0" fontId="9" fillId="3" borderId="0" xfId="0" applyFont="1" applyFill="1" applyBorder="1">
      <alignment vertical="top"/>
    </xf>
    <xf numFmtId="0" fontId="10" fillId="0" borderId="0" xfId="0" applyFont="1" applyBorder="1" applyAlignment="1">
      <alignment horizontal="center" vertical="top"/>
    </xf>
    <xf numFmtId="0" fontId="11" fillId="0" borderId="0" xfId="0" applyFont="1" applyBorder="1">
      <alignment vertical="top"/>
    </xf>
    <xf numFmtId="0" fontId="12" fillId="0" borderId="0" xfId="0" applyFont="1" applyBorder="1">
      <alignment vertical="top"/>
    </xf>
    <xf numFmtId="0" fontId="13" fillId="0" borderId="0" xfId="0" applyFont="1" applyBorder="1">
      <alignment vertical="top"/>
    </xf>
    <xf numFmtId="0" fontId="20" fillId="5" borderId="4" xfId="0" applyFont="1" applyFill="1" applyBorder="1" applyAlignment="1">
      <alignment horizontal="center" vertical="top"/>
    </xf>
    <xf numFmtId="0" fontId="21" fillId="0" borderId="3" xfId="0" applyFont="1" applyBorder="1" applyAlignment="1">
      <alignment horizontal="center" vertical="top"/>
    </xf>
    <xf numFmtId="0" fontId="21" fillId="0" borderId="3" xfId="0" applyFont="1" applyBorder="1">
      <alignment vertical="top"/>
    </xf>
    <xf numFmtId="0" fontId="22" fillId="0" borderId="3" xfId="0" applyFont="1" applyBorder="1">
      <alignment vertical="top"/>
    </xf>
    <xf numFmtId="0" fontId="9" fillId="0" borderId="3" xfId="0" applyFont="1" applyBorder="1">
      <alignment vertical="top"/>
    </xf>
    <xf numFmtId="0" fontId="21" fillId="10" borderId="4" xfId="0" applyFont="1" applyFill="1" applyBorder="1" applyAlignment="1">
      <alignment horizontal="center" vertical="top"/>
    </xf>
    <xf numFmtId="0" fontId="9" fillId="0" borderId="4" xfId="0" applyFont="1" applyBorder="1">
      <alignment vertical="top"/>
    </xf>
    <xf numFmtId="0" fontId="21" fillId="11" borderId="4" xfId="0" applyFont="1" applyFill="1" applyBorder="1" applyAlignment="1">
      <alignment horizontal="center" vertical="top"/>
    </xf>
    <xf numFmtId="0" fontId="21" fillId="3" borderId="4" xfId="0" applyFont="1" applyFill="1" applyBorder="1" applyAlignment="1">
      <alignment horizontal="center" vertical="top"/>
    </xf>
    <xf numFmtId="0" fontId="21" fillId="12" borderId="4" xfId="0" applyFont="1" applyFill="1" applyBorder="1" applyAlignment="1">
      <alignment horizontal="center" vertical="top"/>
    </xf>
    <xf numFmtId="0" fontId="21" fillId="0" borderId="4" xfId="0" applyFont="1" applyBorder="1">
      <alignment vertical="top"/>
    </xf>
    <xf numFmtId="0" fontId="9" fillId="0" borderId="5" xfId="0" applyFont="1" applyBorder="1">
      <alignment vertical="top"/>
    </xf>
    <xf numFmtId="0" fontId="21" fillId="0" borderId="0" xfId="0" applyFont="1" applyBorder="1">
      <alignment vertical="top"/>
    </xf>
    <xf numFmtId="0" fontId="19" fillId="0" borderId="0" xfId="0" applyFont="1" applyBorder="1">
      <alignment vertical="top"/>
    </xf>
    <xf numFmtId="3" fontId="9" fillId="3" borderId="0" xfId="0" applyNumberFormat="1" applyFont="1" applyFill="1" applyBorder="1">
      <alignment vertical="top"/>
    </xf>
    <xf numFmtId="0" fontId="28" fillId="0" borderId="0" xfId="0" applyFont="1" applyBorder="1">
      <alignment vertical="top"/>
    </xf>
    <xf numFmtId="10" fontId="9" fillId="0" borderId="0" xfId="0" applyNumberFormat="1" applyFont="1" applyBorder="1">
      <alignment vertical="top"/>
    </xf>
    <xf numFmtId="3" fontId="9" fillId="0" borderId="0" xfId="0" applyNumberFormat="1" applyFont="1" applyBorder="1">
      <alignment vertical="top"/>
    </xf>
    <xf numFmtId="0" fontId="21" fillId="16" borderId="6" xfId="0" applyFont="1" applyFill="1" applyBorder="1">
      <alignment vertical="top"/>
    </xf>
    <xf numFmtId="0" fontId="21" fillId="16" borderId="6" xfId="0" applyFont="1" applyFill="1" applyBorder="1" applyAlignment="1">
      <alignment horizontal="center" vertical="top"/>
    </xf>
    <xf numFmtId="0" fontId="21" fillId="16" borderId="6" xfId="0" applyFont="1" applyFill="1" applyBorder="1" applyAlignment="1">
      <alignment horizontal="right" vertical="top"/>
    </xf>
    <xf numFmtId="10" fontId="9" fillId="3" borderId="0" xfId="0" applyNumberFormat="1" applyFont="1" applyFill="1" applyBorder="1">
      <alignment vertical="top"/>
    </xf>
    <xf numFmtId="0" fontId="21" fillId="16" borderId="0" xfId="0" applyFont="1" applyFill="1" applyBorder="1">
      <alignment vertical="top"/>
    </xf>
    <xf numFmtId="0" fontId="21" fillId="16" borderId="0" xfId="0" applyFont="1" applyFill="1" applyBorder="1" applyAlignment="1">
      <alignment horizontal="center" vertical="top"/>
    </xf>
    <xf numFmtId="0" fontId="21" fillId="16" borderId="0" xfId="0" applyFont="1" applyFill="1" applyBorder="1" applyAlignment="1">
      <alignment horizontal="right" vertical="top"/>
    </xf>
    <xf numFmtId="0" fontId="2" fillId="4" borderId="0" xfId="0" applyFont="1" applyFill="1" applyBorder="1" applyAlignment="1">
      <alignment horizontal="center" vertical="top"/>
    </xf>
    <xf numFmtId="0" fontId="2" fillId="3" borderId="0" xfId="0" applyFont="1" applyFill="1" applyBorder="1" applyAlignment="1">
      <alignment horizontal="center" vertical="top"/>
    </xf>
    <xf numFmtId="0" fontId="2" fillId="13" borderId="0" xfId="0" applyFont="1" applyFill="1" applyBorder="1" applyAlignment="1">
      <alignment horizontal="center" vertical="top"/>
    </xf>
    <xf numFmtId="0" fontId="21" fillId="0" borderId="0" xfId="0" applyFont="1" applyBorder="1" applyAlignment="1">
      <alignment horizontal="center" vertical="top"/>
    </xf>
    <xf numFmtId="0" fontId="21" fillId="0" borderId="0" xfId="0" applyFont="1" applyBorder="1" applyAlignment="1">
      <alignment horizontal="right" vertical="top"/>
    </xf>
    <xf numFmtId="0" fontId="27" fillId="0" borderId="0" xfId="0" applyFont="1" applyBorder="1" applyAlignment="1">
      <alignment horizontal="center" vertical="top"/>
    </xf>
    <xf numFmtId="0" fontId="0" fillId="0" borderId="1" xfId="0">
      <alignment vertical="top"/>
    </xf>
    <xf numFmtId="0" fontId="16" fillId="7" borderId="0" xfId="0" applyFont="1" applyFill="1" applyBorder="1" applyAlignment="1">
      <alignment horizontal="center" vertical="center"/>
    </xf>
    <xf numFmtId="0" fontId="24" fillId="15" borderId="2" xfId="0" applyFont="1" applyFill="1" applyBorder="1">
      <alignment vertical="top"/>
    </xf>
    <xf numFmtId="0" fontId="25" fillId="0" borderId="0" xfId="0" applyFont="1" applyBorder="1" applyAlignment="1">
      <alignment horizontal="center" vertical="top"/>
    </xf>
    <xf numFmtId="0" fontId="26" fillId="0" borderId="0" xfId="0" applyFont="1" applyBorder="1" applyAlignment="1">
      <alignment horizontal="center" vertical="top"/>
    </xf>
    <xf numFmtId="0" fontId="23" fillId="13" borderId="2" xfId="0" applyFont="1" applyFill="1" applyBorder="1">
      <alignment vertical="top"/>
    </xf>
    <xf numFmtId="0" fontId="18" fillId="14" borderId="3" xfId="0" applyFont="1" applyFill="1" applyBorder="1">
      <alignment vertical="top"/>
    </xf>
    <xf numFmtId="0" fontId="18" fillId="8" borderId="3" xfId="0" applyFont="1" applyFill="1" applyBorder="1">
      <alignment vertical="top"/>
    </xf>
    <xf numFmtId="0" fontId="19" fillId="4" borderId="2" xfId="0" applyFont="1" applyFill="1" applyBorder="1">
      <alignment vertical="top"/>
    </xf>
    <xf numFmtId="0" fontId="17" fillId="9" borderId="2" xfId="0" applyFont="1" applyFill="1" applyBorder="1">
      <alignment vertical="top"/>
    </xf>
    <xf numFmtId="0" fontId="14" fillId="2" borderId="0" xfId="0" applyFont="1" applyFill="1" applyBorder="1" applyAlignment="1">
      <alignment horizontal="center" vertical="top"/>
    </xf>
    <xf numFmtId="0" fontId="15" fillId="6" borderId="0" xfId="0" applyFont="1" applyFill="1" applyBorder="1" applyAlignment="1">
      <alignment horizontal="center" vertical="top"/>
    </xf>
    <xf numFmtId="0" fontId="17" fillId="3" borderId="2" xfId="0" applyFont="1" applyFill="1" applyBorder="1">
      <alignment vertical="top"/>
    </xf>
    <xf numFmtId="0" fontId="1" fillId="2" borderId="0" xfId="0" applyFont="1" applyFill="1" applyBorder="1" applyAlignment="1">
      <alignment horizontal="center" vertical="top"/>
    </xf>
    <xf numFmtId="0" fontId="7" fillId="2" borderId="0" xfId="0" applyFont="1" applyFill="1" applyBorder="1" applyAlignment="1">
      <alignment horizontal="center" vertical="top"/>
    </xf>
    <xf numFmtId="0" fontId="9" fillId="3" borderId="0" xfId="0" applyFont="1" applyFill="1" applyBorder="1">
      <alignment vertical="top"/>
    </xf>
    <xf numFmtId="0" fontId="11" fillId="0" borderId="0" xfId="0" applyFont="1" applyBorder="1">
      <alignment vertical="top"/>
    </xf>
    <xf numFmtId="0" fontId="21" fillId="16" borderId="0" xfId="0" applyFont="1" applyFill="1" applyBorder="1">
      <alignment vertical="top"/>
    </xf>
    <xf numFmtId="0" fontId="21" fillId="0" borderId="0" xfId="0" applyFont="1" applyBorder="1">
      <alignment vertical="top"/>
    </xf>
    <xf numFmtId="0" fontId="4" fillId="3" borderId="0" xfId="0" applyFont="1" applyFill="1" applyBorder="1">
      <alignment vertical="top"/>
    </xf>
    <xf numFmtId="0" fontId="29" fillId="5" borderId="0" xfId="0" applyFont="1" applyFill="1" applyBorder="1">
      <alignment vertical="top"/>
    </xf>
    <xf numFmtId="0" fontId="10" fillId="0" borderId="0" xfId="0" applyFont="1" applyBorder="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facebook.com/dongcovanofficial/" TargetMode="External"/><Relationship Id="rId2" Type="http://schemas.openxmlformats.org/officeDocument/2006/relationships/hyperlink" Target="https://youtube.com/@dongcovan" TargetMode="External"/><Relationship Id="rId1" Type="http://schemas.openxmlformats.org/officeDocument/2006/relationships/hyperlink" Target="https://dongcova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7462C-C818-3858-05ED-110CC6082158}">
  <dimension ref="A1:F48"/>
  <sheetViews>
    <sheetView workbookViewId="0">
      <pane ySplit="3" topLeftCell="A4" activePane="bottomLeft" state="frozen"/>
      <selection pane="bottomLeft" activeCell="A13" sqref="A13:F13"/>
    </sheetView>
  </sheetViews>
  <sheetFormatPr defaultColWidth="8.85546875" defaultRowHeight="15" customHeight="1" x14ac:dyDescent="0.25"/>
  <cols>
    <col min="1" max="1" width="28.5703125" customWidth="1"/>
    <col min="2" max="2" width="50" customWidth="1"/>
    <col min="3" max="3" width="25.7109375" customWidth="1"/>
    <col min="4" max="4" width="40" customWidth="1"/>
    <col min="5" max="6" width="14.28515625" customWidth="1"/>
  </cols>
  <sheetData>
    <row r="1" spans="1:6" ht="25.5" customHeight="1" x14ac:dyDescent="0.25">
      <c r="A1" s="54" t="s">
        <v>39</v>
      </c>
      <c r="B1" s="44"/>
      <c r="C1" s="44"/>
      <c r="D1" s="44"/>
      <c r="E1" s="44"/>
      <c r="F1" s="44"/>
    </row>
    <row r="3" spans="1:6" ht="14.25" customHeight="1" x14ac:dyDescent="0.25">
      <c r="A3" s="55" t="s">
        <v>40</v>
      </c>
      <c r="B3" s="44"/>
      <c r="C3" s="44"/>
      <c r="D3" s="44"/>
      <c r="E3" s="44"/>
      <c r="F3" s="44"/>
    </row>
    <row r="4" spans="1:6" ht="22.5" customHeight="1" x14ac:dyDescent="0.25">
      <c r="A4" s="45" t="s">
        <v>41</v>
      </c>
      <c r="B4" s="44"/>
      <c r="C4" s="44"/>
      <c r="D4" s="44"/>
      <c r="E4" s="44"/>
      <c r="F4" s="44"/>
    </row>
    <row r="5" spans="1:6" ht="11.25" customHeight="1" x14ac:dyDescent="0.25"/>
    <row r="6" spans="1:6" ht="18.75" customHeight="1" x14ac:dyDescent="0.25">
      <c r="A6" s="56" t="s">
        <v>42</v>
      </c>
      <c r="B6" s="44"/>
      <c r="C6" s="44"/>
      <c r="D6" s="44"/>
      <c r="E6" s="44"/>
      <c r="F6" s="44"/>
    </row>
    <row r="7" spans="1:6" ht="21" customHeight="1" x14ac:dyDescent="0.25">
      <c r="A7" s="51" t="s">
        <v>43</v>
      </c>
      <c r="B7" s="44"/>
      <c r="C7" s="44"/>
      <c r="D7" s="44"/>
      <c r="E7" s="44"/>
      <c r="F7" s="44"/>
    </row>
    <row r="8" spans="1:6" ht="21" customHeight="1" x14ac:dyDescent="0.25">
      <c r="A8" s="51" t="s">
        <v>44</v>
      </c>
      <c r="B8" s="44"/>
      <c r="C8" s="44"/>
      <c r="D8" s="44"/>
      <c r="E8" s="44"/>
      <c r="F8" s="44"/>
    </row>
    <row r="9" spans="1:6" ht="21" customHeight="1" x14ac:dyDescent="0.25">
      <c r="A9" s="51" t="s">
        <v>45</v>
      </c>
      <c r="B9" s="44"/>
      <c r="C9" s="44"/>
      <c r="D9" s="44"/>
      <c r="E9" s="44"/>
      <c r="F9" s="44"/>
    </row>
    <row r="10" spans="1:6" ht="21" customHeight="1" x14ac:dyDescent="0.25">
      <c r="A10" s="51" t="s">
        <v>46</v>
      </c>
      <c r="B10" s="44"/>
      <c r="C10" s="44"/>
      <c r="D10" s="44"/>
      <c r="E10" s="44"/>
      <c r="F10" s="44"/>
    </row>
    <row r="11" spans="1:6" ht="21" customHeight="1" x14ac:dyDescent="0.25">
      <c r="A11" s="51" t="s">
        <v>47</v>
      </c>
      <c r="B11" s="44"/>
      <c r="C11" s="44"/>
      <c r="D11" s="44"/>
      <c r="E11" s="44"/>
      <c r="F11" s="44"/>
    </row>
    <row r="12" spans="1:6" ht="11.25" customHeight="1" x14ac:dyDescent="0.25"/>
    <row r="13" spans="1:6" ht="18.75" customHeight="1" x14ac:dyDescent="0.25">
      <c r="A13" s="52" t="s">
        <v>48</v>
      </c>
      <c r="B13" s="44"/>
      <c r="C13" s="44"/>
      <c r="D13" s="44"/>
      <c r="E13" s="44"/>
      <c r="F13" s="44"/>
    </row>
    <row r="14" spans="1:6" ht="15" customHeight="1" x14ac:dyDescent="0.25">
      <c r="A14" s="13" t="s">
        <v>49</v>
      </c>
      <c r="B14" s="13" t="s">
        <v>50</v>
      </c>
      <c r="C14" s="13" t="s">
        <v>51</v>
      </c>
      <c r="D14" s="13" t="s">
        <v>52</v>
      </c>
    </row>
    <row r="15" spans="1:6" ht="24" customHeight="1" x14ac:dyDescent="0.25">
      <c r="A15" s="14">
        <v>1</v>
      </c>
      <c r="B15" s="15" t="s">
        <v>53</v>
      </c>
      <c r="C15" s="16" t="s">
        <v>54</v>
      </c>
      <c r="D15" s="17" t="s">
        <v>55</v>
      </c>
    </row>
    <row r="16" spans="1:6" ht="24" customHeight="1" x14ac:dyDescent="0.25">
      <c r="A16" s="14">
        <v>2</v>
      </c>
      <c r="B16" s="15" t="s">
        <v>56</v>
      </c>
      <c r="C16" s="16" t="s">
        <v>57</v>
      </c>
      <c r="D16" s="17" t="s">
        <v>58</v>
      </c>
    </row>
    <row r="17" spans="1:6" ht="24" customHeight="1" x14ac:dyDescent="0.25">
      <c r="A17" s="14">
        <v>3</v>
      </c>
      <c r="B17" s="15" t="s">
        <v>59</v>
      </c>
      <c r="C17" s="16" t="s">
        <v>60</v>
      </c>
      <c r="D17" s="17" t="s">
        <v>61</v>
      </c>
    </row>
    <row r="18" spans="1:6" ht="24" customHeight="1" x14ac:dyDescent="0.25">
      <c r="A18" s="14">
        <v>4</v>
      </c>
      <c r="B18" s="15" t="s">
        <v>62</v>
      </c>
      <c r="C18" s="16" t="s">
        <v>63</v>
      </c>
      <c r="D18" s="17" t="s">
        <v>64</v>
      </c>
    </row>
    <row r="19" spans="1:6" ht="24" customHeight="1" x14ac:dyDescent="0.25">
      <c r="A19" s="14">
        <v>5</v>
      </c>
      <c r="B19" s="15" t="s">
        <v>65</v>
      </c>
      <c r="C19" s="16" t="s">
        <v>66</v>
      </c>
      <c r="D19" s="17" t="s">
        <v>67</v>
      </c>
    </row>
    <row r="20" spans="1:6" ht="24" customHeight="1" x14ac:dyDescent="0.25">
      <c r="A20" s="14">
        <v>6</v>
      </c>
      <c r="B20" s="15" t="s">
        <v>68</v>
      </c>
      <c r="C20" s="16" t="s">
        <v>69</v>
      </c>
      <c r="D20" s="17" t="s">
        <v>70</v>
      </c>
    </row>
    <row r="21" spans="1:6" ht="11.25" customHeight="1" x14ac:dyDescent="0.25"/>
    <row r="22" spans="1:6" ht="18.75" customHeight="1" x14ac:dyDescent="0.25">
      <c r="A22" s="53" t="s">
        <v>71</v>
      </c>
      <c r="B22" s="44"/>
      <c r="C22" s="44"/>
      <c r="D22" s="44"/>
      <c r="E22" s="44"/>
      <c r="F22" s="44"/>
    </row>
    <row r="23" spans="1:6" ht="15" customHeight="1" x14ac:dyDescent="0.25">
      <c r="A23" s="13" t="s">
        <v>72</v>
      </c>
      <c r="B23" s="13" t="s">
        <v>73</v>
      </c>
    </row>
    <row r="24" spans="1:6" ht="15" customHeight="1" x14ac:dyDescent="0.25">
      <c r="A24" s="18" t="s">
        <v>74</v>
      </c>
      <c r="B24" s="19" t="s">
        <v>75</v>
      </c>
    </row>
    <row r="25" spans="1:6" ht="15" customHeight="1" x14ac:dyDescent="0.25">
      <c r="A25" s="20" t="s">
        <v>76</v>
      </c>
      <c r="B25" s="19" t="s">
        <v>77</v>
      </c>
    </row>
    <row r="26" spans="1:6" ht="15" customHeight="1" x14ac:dyDescent="0.25">
      <c r="A26" s="21" t="s">
        <v>78</v>
      </c>
      <c r="B26" s="19" t="s">
        <v>79</v>
      </c>
    </row>
    <row r="27" spans="1:6" ht="15" customHeight="1" x14ac:dyDescent="0.25">
      <c r="A27" s="22" t="s">
        <v>80</v>
      </c>
      <c r="B27" s="19" t="s">
        <v>81</v>
      </c>
    </row>
    <row r="28" spans="1:6" ht="11.25" customHeight="1" x14ac:dyDescent="0.25"/>
    <row r="29" spans="1:6" ht="18.75" customHeight="1" x14ac:dyDescent="0.25">
      <c r="A29" s="49" t="s">
        <v>82</v>
      </c>
      <c r="B29" s="44"/>
      <c r="C29" s="44"/>
      <c r="D29" s="44"/>
      <c r="E29" s="44"/>
      <c r="F29" s="44"/>
    </row>
    <row r="30" spans="1:6" ht="22.5" customHeight="1" x14ac:dyDescent="0.25">
      <c r="A30" s="50" t="s">
        <v>83</v>
      </c>
      <c r="B30" s="44"/>
      <c r="C30" s="44"/>
      <c r="D30" s="44"/>
      <c r="E30" s="44"/>
      <c r="F30" s="44"/>
    </row>
    <row r="31" spans="1:6" ht="22.5" customHeight="1" x14ac:dyDescent="0.25">
      <c r="A31" s="50" t="s">
        <v>84</v>
      </c>
      <c r="B31" s="44"/>
      <c r="C31" s="44"/>
      <c r="D31" s="44"/>
      <c r="E31" s="44"/>
      <c r="F31" s="44"/>
    </row>
    <row r="32" spans="1:6" ht="22.5" customHeight="1" x14ac:dyDescent="0.25">
      <c r="A32" s="50" t="s">
        <v>85</v>
      </c>
      <c r="B32" s="44"/>
      <c r="C32" s="44"/>
      <c r="D32" s="44"/>
      <c r="E32" s="44"/>
      <c r="F32" s="44"/>
    </row>
    <row r="33" spans="1:6" ht="22.5" customHeight="1" x14ac:dyDescent="0.25">
      <c r="A33" s="50" t="s">
        <v>86</v>
      </c>
      <c r="B33" s="44"/>
      <c r="C33" s="44"/>
      <c r="D33" s="44"/>
      <c r="E33" s="44"/>
      <c r="F33" s="44"/>
    </row>
    <row r="34" spans="1:6" ht="11.25" customHeight="1" x14ac:dyDescent="0.25"/>
    <row r="35" spans="1:6" ht="18.75" customHeight="1" x14ac:dyDescent="0.25">
      <c r="A35" s="46" t="s">
        <v>87</v>
      </c>
      <c r="B35" s="44"/>
      <c r="C35" s="44"/>
      <c r="D35" s="44"/>
      <c r="E35" s="44"/>
      <c r="F35" s="44"/>
    </row>
    <row r="36" spans="1:6" ht="15" customHeight="1" x14ac:dyDescent="0.25">
      <c r="A36" s="13" t="s">
        <v>88</v>
      </c>
      <c r="B36" s="13" t="s">
        <v>89</v>
      </c>
    </row>
    <row r="37" spans="1:6" ht="22.5" customHeight="1" x14ac:dyDescent="0.25">
      <c r="A37" s="23" t="s">
        <v>53</v>
      </c>
      <c r="B37" s="19" t="s">
        <v>90</v>
      </c>
    </row>
    <row r="38" spans="1:6" ht="22.5" customHeight="1" x14ac:dyDescent="0.25">
      <c r="A38" s="23" t="s">
        <v>91</v>
      </c>
      <c r="B38" s="19" t="s">
        <v>92</v>
      </c>
    </row>
    <row r="39" spans="1:6" ht="22.5" customHeight="1" x14ac:dyDescent="0.25">
      <c r="A39" s="23" t="s">
        <v>93</v>
      </c>
      <c r="B39" s="19" t="s">
        <v>94</v>
      </c>
    </row>
    <row r="40" spans="1:6" ht="22.5" customHeight="1" x14ac:dyDescent="0.25">
      <c r="A40" s="23" t="s">
        <v>95</v>
      </c>
      <c r="B40" s="19" t="s">
        <v>96</v>
      </c>
    </row>
    <row r="41" spans="1:6" ht="11.25" customHeight="1" x14ac:dyDescent="0.25"/>
    <row r="42" spans="1:6" ht="7.5" customHeight="1" x14ac:dyDescent="0.25">
      <c r="A42" s="24"/>
      <c r="B42" s="24"/>
      <c r="C42" s="24"/>
      <c r="D42" s="24"/>
      <c r="E42" s="24"/>
      <c r="F42" s="24"/>
    </row>
    <row r="43" spans="1:6" ht="21" customHeight="1" x14ac:dyDescent="0.25">
      <c r="A43" s="47" t="s">
        <v>97</v>
      </c>
      <c r="B43" s="44"/>
      <c r="C43" s="44"/>
      <c r="D43" s="44"/>
      <c r="E43" s="44"/>
      <c r="F43" s="44"/>
    </row>
    <row r="44" spans="1:6" ht="19.5" customHeight="1" x14ac:dyDescent="0.25">
      <c r="A44" s="48" t="s">
        <v>98</v>
      </c>
      <c r="B44" s="44"/>
      <c r="C44" s="44"/>
      <c r="D44" s="44"/>
      <c r="E44" s="44"/>
      <c r="F44" s="44"/>
    </row>
    <row r="45" spans="1:6" ht="19.5" customHeight="1" x14ac:dyDescent="0.25">
      <c r="A45" s="48" t="s">
        <v>99</v>
      </c>
      <c r="B45" s="44"/>
      <c r="C45" s="44"/>
      <c r="D45" s="44"/>
      <c r="E45" s="44"/>
      <c r="F45" s="44"/>
    </row>
    <row r="46" spans="1:6" ht="19.5" customHeight="1" x14ac:dyDescent="0.25">
      <c r="A46" s="48" t="s">
        <v>100</v>
      </c>
      <c r="B46" s="44"/>
      <c r="C46" s="44"/>
      <c r="D46" s="44"/>
      <c r="E46" s="44"/>
      <c r="F46" s="44"/>
    </row>
    <row r="48" spans="1:6" ht="18" customHeight="1" x14ac:dyDescent="0.25">
      <c r="A48" s="43" t="s">
        <v>101</v>
      </c>
      <c r="B48" s="44"/>
      <c r="C48" s="44"/>
      <c r="D48" s="44"/>
      <c r="E48" s="44"/>
      <c r="F48" s="44"/>
    </row>
  </sheetData>
  <mergeCells count="22">
    <mergeCell ref="A22:F22"/>
    <mergeCell ref="A1:F1"/>
    <mergeCell ref="A3:F3"/>
    <mergeCell ref="A6:F6"/>
    <mergeCell ref="A7:F7"/>
    <mergeCell ref="A8:F8"/>
    <mergeCell ref="A48:F48"/>
    <mergeCell ref="A4:F4"/>
    <mergeCell ref="A35:F35"/>
    <mergeCell ref="A43:F43"/>
    <mergeCell ref="A44:F44"/>
    <mergeCell ref="A45:F45"/>
    <mergeCell ref="A46:F46"/>
    <mergeCell ref="A29:F29"/>
    <mergeCell ref="A30:F30"/>
    <mergeCell ref="A31:F31"/>
    <mergeCell ref="A32:F32"/>
    <mergeCell ref="A33:F33"/>
    <mergeCell ref="A9:F9"/>
    <mergeCell ref="A10:F10"/>
    <mergeCell ref="A11:F11"/>
    <mergeCell ref="A13:F13"/>
  </mergeCells>
  <hyperlinks>
    <hyperlink ref="A44:F44" r:id="rId1" tooltip="https://dongcovan.com" display="🌐 Website: https://dongcovan.com" xr:uid="{00000000-0004-0000-0200-000000000000}"/>
    <hyperlink ref="A45:F45" r:id="rId2" tooltip="https://youtube.com/@dongcovan" display="📺 YouTube: https://youtube.com/@dongcovan" xr:uid="{00000000-0004-0000-0200-000001000000}"/>
    <hyperlink ref="A46:F46" r:id="rId3" tooltip="https://www.facebook.com/dongcovanofficial/" display="📘 Facebook: https://www.facebook.com/dongcovanofficial/" xr:uid="{00000000-0004-0000-0200-000002000000}"/>
  </hyperlinks>
  <pageMargins left="0.7" right="0.7" top="0.75" bottom="0.75" header="0.3" footer="0.3"/>
  <pageSetup orientation="portrait"/>
  <headerFooter>
    <oddHeader>&amp;L&amp;C&amp;R</oddHeader>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D5FF8-3F58-0A04-4A57-1E133A19885B}">
  <dimension ref="A1:F19"/>
  <sheetViews>
    <sheetView workbookViewId="0">
      <selection sqref="A1:F1"/>
    </sheetView>
  </sheetViews>
  <sheetFormatPr defaultColWidth="8.85546875" defaultRowHeight="15" customHeight="1" x14ac:dyDescent="0.25"/>
  <cols>
    <col min="1" max="1" width="128.5703125" customWidth="1"/>
  </cols>
  <sheetData>
    <row r="1" spans="1:6" ht="37.5" customHeight="1" x14ac:dyDescent="0.25">
      <c r="A1" s="57" t="s">
        <v>0</v>
      </c>
      <c r="B1" s="44"/>
      <c r="C1" s="44"/>
      <c r="D1" s="44"/>
      <c r="E1" s="44"/>
      <c r="F1" s="44"/>
    </row>
    <row r="3" spans="1:6" ht="18.75" customHeight="1" x14ac:dyDescent="0.25">
      <c r="A3" s="1" t="s">
        <v>1</v>
      </c>
    </row>
    <row r="4" spans="1:6" ht="15" customHeight="1" x14ac:dyDescent="0.25">
      <c r="A4" t="s">
        <v>2</v>
      </c>
    </row>
    <row r="6" spans="1:6" ht="18.75" customHeight="1" x14ac:dyDescent="0.25">
      <c r="A6" s="1" t="s">
        <v>3</v>
      </c>
    </row>
    <row r="7" spans="1:6" ht="15" customHeight="1" x14ac:dyDescent="0.25">
      <c r="A7" t="s">
        <v>4</v>
      </c>
    </row>
    <row r="9" spans="1:6" ht="18.75" customHeight="1" x14ac:dyDescent="0.25">
      <c r="A9" s="1" t="s">
        <v>5</v>
      </c>
    </row>
    <row r="10" spans="1:6" ht="15" customHeight="1" x14ac:dyDescent="0.25">
      <c r="A10" s="2" t="s">
        <v>6</v>
      </c>
    </row>
    <row r="11" spans="1:6" ht="15" customHeight="1" x14ac:dyDescent="0.25">
      <c r="A11" s="2" t="s">
        <v>7</v>
      </c>
    </row>
    <row r="12" spans="1:6" ht="15" customHeight="1" x14ac:dyDescent="0.25">
      <c r="A12" s="3" t="s">
        <v>8</v>
      </c>
    </row>
    <row r="14" spans="1:6" ht="18.75" customHeight="1" x14ac:dyDescent="0.25">
      <c r="A14" s="1" t="s">
        <v>9</v>
      </c>
    </row>
    <row r="15" spans="1:6" ht="15" customHeight="1" x14ac:dyDescent="0.25">
      <c r="A15" s="4" t="s">
        <v>10</v>
      </c>
    </row>
    <row r="16" spans="1:6" ht="15" customHeight="1" x14ac:dyDescent="0.25">
      <c r="A16" s="5" t="s">
        <v>11</v>
      </c>
    </row>
    <row r="17" spans="1:1" ht="15" customHeight="1" x14ac:dyDescent="0.25">
      <c r="A17" s="5" t="s">
        <v>12</v>
      </c>
    </row>
    <row r="19" spans="1:1" ht="15" customHeight="1" x14ac:dyDescent="0.25">
      <c r="A19" s="6" t="s">
        <v>13</v>
      </c>
    </row>
  </sheetData>
  <mergeCells count="1">
    <mergeCell ref="A1:F1"/>
  </mergeCells>
  <pageMargins left="0.7" right="0.7" top="0.75" bottom="0.75" header="0.3" footer="0.3"/>
  <pageSetup orientation="portrait"/>
  <headerFooter>
    <oddHeader>&amp;L&amp;C&amp;R</oddHeader>
    <oddFooter>&amp;L&amp;C&amp;R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F39E8-ED08-5D68-2374-46379D51B74D}">
  <dimension ref="A1:D14"/>
  <sheetViews>
    <sheetView workbookViewId="0">
      <pane ySplit="3" topLeftCell="A4" activePane="bottomLeft" state="frozen"/>
      <selection pane="bottomLeft" activeCell="B10" sqref="B10"/>
    </sheetView>
  </sheetViews>
  <sheetFormatPr defaultColWidth="8.85546875" defaultRowHeight="15" customHeight="1" x14ac:dyDescent="0.25"/>
  <cols>
    <col min="1" max="1" width="42.85546875" customWidth="1"/>
    <col min="2" max="2" width="35.7109375" customWidth="1"/>
    <col min="3" max="3" width="11.42578125" customWidth="1"/>
    <col min="4" max="4" width="42.85546875" customWidth="1"/>
  </cols>
  <sheetData>
    <row r="1" spans="1:4" ht="30" customHeight="1" x14ac:dyDescent="0.25">
      <c r="A1" s="58" t="s">
        <v>14</v>
      </c>
      <c r="B1" s="44"/>
      <c r="C1" s="44"/>
      <c r="D1" s="44"/>
    </row>
    <row r="3" spans="1:4" ht="15" customHeight="1" x14ac:dyDescent="0.25">
      <c r="A3" s="7" t="s">
        <v>15</v>
      </c>
      <c r="B3" s="7" t="s">
        <v>16</v>
      </c>
      <c r="C3" s="7" t="s">
        <v>17</v>
      </c>
      <c r="D3" s="7" t="s">
        <v>18</v>
      </c>
    </row>
    <row r="4" spans="1:4" ht="15" customHeight="1" x14ac:dyDescent="0.25">
      <c r="A4" t="s">
        <v>19</v>
      </c>
      <c r="B4" s="8" t="s">
        <v>20</v>
      </c>
      <c r="C4" s="9">
        <f>IF(B4="Dưới 1 năm",1,IF(B4="1-3 năm",2,IF(B4="3-5 năm",3,IF(B4="5-10 năm",4,IF(B4="Trên 10 năm",5,0)))))</f>
        <v>3</v>
      </c>
      <c r="D4" t="s">
        <v>21</v>
      </c>
    </row>
    <row r="5" spans="1:4" ht="15" customHeight="1" x14ac:dyDescent="0.25">
      <c r="A5" t="s">
        <v>22</v>
      </c>
      <c r="B5" s="8" t="s">
        <v>23</v>
      </c>
      <c r="C5" s="9">
        <f>IF(B5="Không chấp nhận",1,IF(B5="Dưới 10%",2,IF(B5="10-20%",3,IF(B5="20-30%",4,IF(B5="Trên 30%",5,0)))))</f>
        <v>3</v>
      </c>
      <c r="D5" t="s">
        <v>24</v>
      </c>
    </row>
    <row r="6" spans="1:4" ht="15" customHeight="1" x14ac:dyDescent="0.25">
      <c r="A6" t="s">
        <v>25</v>
      </c>
      <c r="B6" s="8" t="s">
        <v>26</v>
      </c>
      <c r="C6" s="9">
        <f>IF(B6="Mới bắt đầu",1,IF(B6="Dưới 2 năm",2,IF(B6="2-5 năm",3,IF(B6="5-10 năm",4,IF(B6="Trên 10 năm",5,0)))))</f>
        <v>3</v>
      </c>
      <c r="D6" t="s">
        <v>27</v>
      </c>
    </row>
    <row r="7" spans="1:4" ht="15" customHeight="1" x14ac:dyDescent="0.25">
      <c r="A7" t="s">
        <v>28</v>
      </c>
      <c r="B7" s="8" t="s">
        <v>29</v>
      </c>
      <c r="C7" s="9">
        <f>IF(B7="Khó khăn",1,IF(B7="Vừa đủ",2,IF(B7="Ổn định",3,IF(B7="Dư dả",4,IF(B7="Rất giàu",5,0)))))</f>
        <v>3</v>
      </c>
      <c r="D7" t="s">
        <v>30</v>
      </c>
    </row>
    <row r="8" spans="1:4" ht="15" customHeight="1" x14ac:dyDescent="0.25">
      <c r="A8" t="s">
        <v>31</v>
      </c>
      <c r="B8" s="8" t="s">
        <v>32</v>
      </c>
      <c r="C8" s="9">
        <f>IF(B8="Bán ngay lập tức",1,IF(B8="Lo lắng, cân nhắc bán",2,IF(B8="Giữ nguyên",3,IF(B8="Mua thêm ít",4,IF(B8="Mua thêm mạnh",5,0)))))</f>
        <v>3</v>
      </c>
      <c r="D8" t="s">
        <v>33</v>
      </c>
    </row>
    <row r="10" spans="1:4" ht="15" customHeight="1" x14ac:dyDescent="0.25">
      <c r="A10" s="10" t="s">
        <v>34</v>
      </c>
      <c r="B10" s="11">
        <f>SUM(C4:C8)</f>
        <v>15</v>
      </c>
      <c r="C10" t="s">
        <v>35</v>
      </c>
    </row>
    <row r="12" spans="1:4" ht="15" customHeight="1" x14ac:dyDescent="0.25">
      <c r="A12" s="10" t="s">
        <v>36</v>
      </c>
      <c r="B12" s="12" t="e">
        <f ca="1">_xlfn.IFS(B10&lt;=9,"RẤT THẬN TRỌNG",B10&lt;=14,"THẬN TRỌNG",B10&lt;=19,"CÂN BẰNG",B10&lt;=23,"TĂNG TRƯỞNG",B10&lt;=25,"MẠO HIỂM",TRUE,"Chưa đánh giá")</f>
        <v>#NAME?</v>
      </c>
    </row>
    <row r="14" spans="1:4" ht="15" customHeight="1" x14ac:dyDescent="0.25">
      <c r="A14" t="s">
        <v>38</v>
      </c>
      <c r="B14" s="3" t="e">
        <f ca="1">_xlfn.IFS(B10&lt;=9,"Ưu tiên bảo toàn vốn, chấp nhận lợi nhuận thấp",B10&lt;=14,"Cân bằng giữa an toàn và tăng trưởng nhẹ",B10&lt;=19,"Chấp nhận rủi ro vừa phải để tăng trưởng",B10&lt;=23,"Tập trung tăng trưởng, chấp nhận biến động cao",B10&lt;=25,"Chấp nhận rủi ro cao để tối đa lợi nhuận",TRUE,"")</f>
        <v>#NAME?</v>
      </c>
    </row>
  </sheetData>
  <mergeCells count="1">
    <mergeCell ref="A1:D1"/>
  </mergeCells>
  <pageMargins left="0.7" right="0.7" top="0.75" bottom="0.75" header="0.3" footer="0.3"/>
  <pageSetup orientation="portrait"/>
  <headerFooter>
    <oddHeader>&amp;L&amp;C&amp;R</oddHeader>
    <oddFooter>&amp;L&amp;C&amp;R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5C35E-5785-4E1D-EB48-15AB50483C9C}">
  <dimension ref="A1:D14"/>
  <sheetViews>
    <sheetView workbookViewId="0">
      <pane ySplit="5" topLeftCell="A6" activePane="bottomLeft" state="frozen"/>
      <selection pane="bottomLeft" activeCell="B4" sqref="B4"/>
    </sheetView>
  </sheetViews>
  <sheetFormatPr defaultColWidth="8.85546875" defaultRowHeight="15" customHeight="1" x14ac:dyDescent="0.25"/>
  <cols>
    <col min="1" max="1" width="35.7109375" customWidth="1"/>
    <col min="2" max="2" width="28.5703125" customWidth="1"/>
    <col min="3" max="3" width="14.28515625" customWidth="1"/>
    <col min="4" max="4" width="42.85546875" customWidth="1"/>
  </cols>
  <sheetData>
    <row r="1" spans="1:4" ht="15" customHeight="1" x14ac:dyDescent="0.25">
      <c r="A1" s="58" t="s">
        <v>102</v>
      </c>
      <c r="B1" s="44"/>
      <c r="C1" s="44"/>
      <c r="D1" s="44"/>
    </row>
    <row r="3" spans="1:4" ht="15" customHeight="1" x14ac:dyDescent="0.25">
      <c r="A3" s="25" t="s">
        <v>103</v>
      </c>
      <c r="B3" s="26" t="e">
        <f ca="1">'01_Khẩu vị rủi ro'!B12</f>
        <v>#NAME?</v>
      </c>
    </row>
    <row r="5" spans="1:4" ht="15" customHeight="1" x14ac:dyDescent="0.25">
      <c r="A5" s="7" t="s">
        <v>104</v>
      </c>
      <c r="B5" s="7" t="s">
        <v>105</v>
      </c>
      <c r="C5" s="7" t="s">
        <v>106</v>
      </c>
      <c r="D5" s="7" t="s">
        <v>107</v>
      </c>
    </row>
    <row r="6" spans="1:4" ht="15" customHeight="1" x14ac:dyDescent="0.25">
      <c r="A6" t="s">
        <v>108</v>
      </c>
      <c r="B6" s="27">
        <v>500000000</v>
      </c>
      <c r="C6" t="s">
        <v>109</v>
      </c>
      <c r="D6" t="s">
        <v>110</v>
      </c>
    </row>
    <row r="7" spans="1:4" ht="15" customHeight="1" x14ac:dyDescent="0.25">
      <c r="A7" t="s">
        <v>19</v>
      </c>
      <c r="B7" s="8">
        <v>5</v>
      </c>
      <c r="C7" t="s">
        <v>111</v>
      </c>
      <c r="D7" t="s">
        <v>112</v>
      </c>
    </row>
    <row r="8" spans="1:4" ht="15" customHeight="1" x14ac:dyDescent="0.25">
      <c r="A8" t="s">
        <v>113</v>
      </c>
      <c r="B8" s="8" t="s">
        <v>114</v>
      </c>
      <c r="D8" t="s">
        <v>115</v>
      </c>
    </row>
    <row r="10" spans="1:4" ht="15" customHeight="1" x14ac:dyDescent="0.25">
      <c r="A10" t="s">
        <v>116</v>
      </c>
    </row>
    <row r="11" spans="1:4" ht="15" customHeight="1" x14ac:dyDescent="0.25">
      <c r="A11" t="s">
        <v>117</v>
      </c>
      <c r="B11" s="28" t="str">
        <f>IF(B6&gt;0,TEXT(B6,"#,##0")&amp;" VNĐ","_____")</f>
        <v>500,000,000 VNĐ</v>
      </c>
    </row>
    <row r="12" spans="1:4" ht="15" customHeight="1" x14ac:dyDescent="0.25">
      <c r="A12" t="s">
        <v>118</v>
      </c>
      <c r="B12" s="25" t="str">
        <f>IF(B7&gt;0,B7&amp;" năm","_____")</f>
        <v>5 năm</v>
      </c>
    </row>
    <row r="13" spans="1:4" ht="15" customHeight="1" x14ac:dyDescent="0.25">
      <c r="A13" t="s">
        <v>119</v>
      </c>
      <c r="B13" s="25" t="str">
        <f>IF(B8&lt;&gt;"",B8,"_____")</f>
        <v>Tăng trưởng ổn định</v>
      </c>
    </row>
    <row r="14" spans="1:4" ht="15" customHeight="1" x14ac:dyDescent="0.25">
      <c r="A14" t="s">
        <v>120</v>
      </c>
      <c r="B14" s="25" t="e">
        <f ca="1">'01_Khẩu vị rủi ro'!B12</f>
        <v>#NAME?</v>
      </c>
    </row>
  </sheetData>
  <mergeCells count="1">
    <mergeCell ref="A1:D1"/>
  </mergeCells>
  <pageMargins left="0.7" right="0.7" top="0.75" bottom="0.75" header="0.3" footer="0.3"/>
  <pageSetup orientation="portrait"/>
  <headerFooter>
    <oddHeader>&amp;L&amp;C&amp;R</oddHeader>
    <oddFooter>&amp;L&amp;C&amp;R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13B22-5435-3B0C-A7A2-37AD6D28FC13}">
  <dimension ref="A1:N12"/>
  <sheetViews>
    <sheetView workbookViewId="0">
      <pane ySplit="5" topLeftCell="A6" activePane="bottomLeft" state="frozen"/>
      <selection pane="bottomLeft" activeCell="C15" sqref="C15"/>
    </sheetView>
  </sheetViews>
  <sheetFormatPr defaultColWidth="8.85546875" defaultRowHeight="15" customHeight="1" x14ac:dyDescent="0.25"/>
  <cols>
    <col min="1" max="1" width="35.7109375" customWidth="1"/>
    <col min="2" max="2" width="14.28515625" customWidth="1"/>
    <col min="3" max="3" width="21.42578125" customWidth="1"/>
    <col min="4" max="4" width="25.7109375" customWidth="1"/>
    <col min="5" max="5" width="28.5703125" customWidth="1"/>
  </cols>
  <sheetData>
    <row r="1" spans="1:14" ht="15" customHeight="1" x14ac:dyDescent="0.25">
      <c r="A1" s="58" t="s">
        <v>121</v>
      </c>
      <c r="B1" s="44"/>
      <c r="C1" s="44"/>
      <c r="D1" s="44"/>
      <c r="E1" s="44"/>
      <c r="H1" t="s">
        <v>122</v>
      </c>
    </row>
    <row r="2" spans="1:14" ht="15" customHeight="1" x14ac:dyDescent="0.25">
      <c r="H2" t="s">
        <v>123</v>
      </c>
      <c r="I2" t="s">
        <v>124</v>
      </c>
      <c r="J2" t="s">
        <v>125</v>
      </c>
      <c r="K2" t="s">
        <v>126</v>
      </c>
      <c r="L2" t="s">
        <v>127</v>
      </c>
      <c r="M2" t="s">
        <v>78</v>
      </c>
      <c r="N2" t="s">
        <v>128</v>
      </c>
    </row>
    <row r="3" spans="1:14" ht="15" customHeight="1" x14ac:dyDescent="0.25">
      <c r="A3" s="25" t="s">
        <v>129</v>
      </c>
      <c r="B3" s="1" t="e">
        <f ca="1">'01_Khẩu vị rủi ro'!B12</f>
        <v>#NAME?</v>
      </c>
      <c r="D3" s="25" t="s">
        <v>130</v>
      </c>
      <c r="E3" s="28" t="e">
        <f>TEXT('02_Vốn &amp; mục tiêu'!B6,"#,##0 VNĐ")</f>
        <v>#VALUE!</v>
      </c>
      <c r="H3" t="s">
        <v>131</v>
      </c>
      <c r="I3">
        <v>0.4</v>
      </c>
      <c r="J3">
        <v>0.4</v>
      </c>
      <c r="K3">
        <v>0.1</v>
      </c>
      <c r="L3">
        <v>0.05</v>
      </c>
      <c r="M3">
        <v>0.05</v>
      </c>
    </row>
    <row r="4" spans="1:14" ht="15" customHeight="1" x14ac:dyDescent="0.25">
      <c r="H4" t="s">
        <v>132</v>
      </c>
      <c r="I4">
        <v>0.25</v>
      </c>
      <c r="J4">
        <v>0.35</v>
      </c>
      <c r="K4">
        <v>0.25</v>
      </c>
      <c r="L4">
        <v>0.1</v>
      </c>
      <c r="M4">
        <v>0.05</v>
      </c>
    </row>
    <row r="5" spans="1:14" ht="15" customHeight="1" x14ac:dyDescent="0.25">
      <c r="A5" s="7" t="s">
        <v>133</v>
      </c>
      <c r="B5" s="7" t="s">
        <v>134</v>
      </c>
      <c r="C5" s="7" t="s">
        <v>135</v>
      </c>
      <c r="D5" s="7" t="s">
        <v>136</v>
      </c>
      <c r="E5" s="7" t="s">
        <v>137</v>
      </c>
      <c r="H5" t="s">
        <v>37</v>
      </c>
      <c r="I5">
        <v>0.15</v>
      </c>
      <c r="J5">
        <v>0.25</v>
      </c>
      <c r="K5">
        <v>0.4</v>
      </c>
      <c r="L5">
        <v>0.1</v>
      </c>
      <c r="M5">
        <v>0.05</v>
      </c>
      <c r="N5">
        <v>0.05</v>
      </c>
    </row>
    <row r="6" spans="1:14" ht="15" customHeight="1" x14ac:dyDescent="0.25">
      <c r="A6" t="s">
        <v>138</v>
      </c>
      <c r="B6" s="29" t="e">
        <f ca="1">VLOOKUP(B3,$H$2:$N$7,2,FALSE)</f>
        <v>#NAME?</v>
      </c>
      <c r="C6" s="30" t="e">
        <f ca="1">B6*'02_Vốn &amp; mục tiêu'!B6</f>
        <v>#NAME?</v>
      </c>
      <c r="D6" t="s">
        <v>139</v>
      </c>
      <c r="E6" t="s">
        <v>140</v>
      </c>
      <c r="H6" t="s">
        <v>141</v>
      </c>
      <c r="I6">
        <v>0.1</v>
      </c>
      <c r="J6">
        <v>0.15</v>
      </c>
      <c r="K6">
        <v>0.5</v>
      </c>
      <c r="L6">
        <v>0.1</v>
      </c>
      <c r="M6">
        <v>0.05</v>
      </c>
      <c r="N6">
        <v>0.1</v>
      </c>
    </row>
    <row r="7" spans="1:14" ht="15" customHeight="1" x14ac:dyDescent="0.25">
      <c r="A7" t="s">
        <v>142</v>
      </c>
      <c r="B7" s="29" t="e">
        <f ca="1">VLOOKUP(B3,$H$2:$N$7,3,FALSE)</f>
        <v>#NAME?</v>
      </c>
      <c r="C7" s="30" t="e">
        <f ca="1">B7*'02_Vốn &amp; mục tiêu'!B6</f>
        <v>#NAME?</v>
      </c>
      <c r="D7" t="s">
        <v>143</v>
      </c>
      <c r="E7" t="s">
        <v>144</v>
      </c>
      <c r="H7" t="s">
        <v>145</v>
      </c>
      <c r="I7">
        <v>0.05</v>
      </c>
      <c r="J7">
        <v>0.05</v>
      </c>
      <c r="K7">
        <v>0.55000000000000004</v>
      </c>
      <c r="L7">
        <v>0.1</v>
      </c>
      <c r="M7">
        <v>0.05</v>
      </c>
      <c r="N7">
        <v>0.2</v>
      </c>
    </row>
    <row r="8" spans="1:14" ht="15" customHeight="1" x14ac:dyDescent="0.25">
      <c r="A8" t="s">
        <v>146</v>
      </c>
      <c r="B8" s="29" t="e">
        <f ca="1">VLOOKUP(B3,$H$2:$N$7,4,FALSE)</f>
        <v>#NAME?</v>
      </c>
      <c r="C8" s="30" t="e">
        <f ca="1">B8*'02_Vốn &amp; mục tiêu'!B6</f>
        <v>#NAME?</v>
      </c>
      <c r="D8" t="s">
        <v>147</v>
      </c>
      <c r="E8" t="s">
        <v>148</v>
      </c>
    </row>
    <row r="9" spans="1:14" ht="15" customHeight="1" x14ac:dyDescent="0.25">
      <c r="A9" t="s">
        <v>149</v>
      </c>
      <c r="B9" s="29" t="e">
        <f ca="1">VLOOKUP(B3,$H$2:$N$7,5,FALSE)</f>
        <v>#NAME?</v>
      </c>
      <c r="C9" s="30" t="e">
        <f ca="1">B9*'02_Vốn &amp; mục tiêu'!B6</f>
        <v>#NAME?</v>
      </c>
      <c r="D9" t="s">
        <v>150</v>
      </c>
      <c r="E9" t="s">
        <v>151</v>
      </c>
    </row>
    <row r="10" spans="1:14" ht="15" customHeight="1" x14ac:dyDescent="0.25">
      <c r="A10" t="s">
        <v>152</v>
      </c>
      <c r="B10" s="29" t="e">
        <f ca="1">VLOOKUP(B3,$H$2:$N$7,6,FALSE)</f>
        <v>#NAME?</v>
      </c>
      <c r="C10" s="30" t="e">
        <f ca="1">B10*'02_Vốn &amp; mục tiêu'!B6</f>
        <v>#NAME?</v>
      </c>
      <c r="D10" t="s">
        <v>153</v>
      </c>
      <c r="E10" t="s">
        <v>154</v>
      </c>
    </row>
    <row r="11" spans="1:14" ht="15" customHeight="1" x14ac:dyDescent="0.25">
      <c r="A11" t="s">
        <v>155</v>
      </c>
      <c r="B11" s="29" t="e">
        <f ca="1">VLOOKUP(B3,$H$2:$N$7,7,FALSE)</f>
        <v>#NAME?</v>
      </c>
      <c r="C11" s="30" t="e">
        <f ca="1">B11*'02_Vốn &amp; mục tiêu'!B6</f>
        <v>#NAME?</v>
      </c>
      <c r="D11" t="s">
        <v>156</v>
      </c>
      <c r="E11" t="s">
        <v>157</v>
      </c>
    </row>
    <row r="12" spans="1:14" ht="15" customHeight="1" x14ac:dyDescent="0.25">
      <c r="A12" s="31" t="s">
        <v>158</v>
      </c>
      <c r="B12" s="32" t="e">
        <f t="shared" ref="B12:C12" ca="1" si="0">SUM(B6:B11)</f>
        <v>#NAME?</v>
      </c>
      <c r="C12" s="33" t="e">
        <f t="shared" ca="1" si="0"/>
        <v>#NAME?</v>
      </c>
    </row>
  </sheetData>
  <mergeCells count="1">
    <mergeCell ref="A1:E1"/>
  </mergeCells>
  <pageMargins left="0.7" right="0.7" top="0.75" bottom="0.75" header="0.3" footer="0.3"/>
  <pageSetup orientation="portrait"/>
  <headerFooter>
    <oddHeader>&amp;L&amp;C&amp;R</oddHeader>
    <oddFooter>&amp;L&amp;C&amp;R</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38BA6-30B2-A548-62DF-BE8EDD81B8B9}">
  <dimension ref="A1:F17"/>
  <sheetViews>
    <sheetView workbookViewId="0">
      <pane ySplit="5" topLeftCell="A6" activePane="bottomLeft" state="frozen"/>
      <selection pane="bottomLeft" activeCell="C6" sqref="C6"/>
    </sheetView>
  </sheetViews>
  <sheetFormatPr defaultColWidth="8.85546875" defaultRowHeight="15" customHeight="1" x14ac:dyDescent="0.25"/>
  <cols>
    <col min="1" max="1" width="32.85546875" customWidth="1"/>
    <col min="2" max="4" width="14.28515625" customWidth="1"/>
    <col min="5" max="5" width="21.42578125" customWidth="1"/>
    <col min="6" max="6" width="25.7109375" customWidth="1"/>
  </cols>
  <sheetData>
    <row r="1" spans="1:6" ht="15" customHeight="1" x14ac:dyDescent="0.25">
      <c r="A1" s="58" t="s">
        <v>159</v>
      </c>
      <c r="B1" s="44"/>
      <c r="C1" s="44"/>
      <c r="D1" s="44"/>
      <c r="E1" s="44"/>
      <c r="F1" s="44"/>
    </row>
    <row r="3" spans="1:6" ht="15" customHeight="1" x14ac:dyDescent="0.25">
      <c r="A3" s="59" t="s">
        <v>160</v>
      </c>
      <c r="B3" s="44"/>
      <c r="C3" s="44"/>
      <c r="D3" s="44"/>
      <c r="E3" s="44"/>
      <c r="F3" s="44"/>
    </row>
    <row r="5" spans="1:6" ht="15" customHeight="1" x14ac:dyDescent="0.25">
      <c r="A5" s="7" t="s">
        <v>133</v>
      </c>
      <c r="B5" s="7" t="s">
        <v>161</v>
      </c>
      <c r="C5" s="7" t="s">
        <v>162</v>
      </c>
      <c r="D5" s="7" t="s">
        <v>163</v>
      </c>
      <c r="E5" s="7" t="s">
        <v>164</v>
      </c>
      <c r="F5" s="7" t="s">
        <v>165</v>
      </c>
    </row>
    <row r="6" spans="1:6" ht="15" customHeight="1" x14ac:dyDescent="0.25">
      <c r="A6" t="s">
        <v>138</v>
      </c>
      <c r="B6" s="29" t="e">
        <f ca="1">'03_Phân bổ đề xuất'!B6</f>
        <v>#NAME?</v>
      </c>
      <c r="C6" s="34">
        <v>0.1</v>
      </c>
      <c r="D6" s="29" t="e">
        <f t="shared" ref="D6:D12" ca="1" si="0">C6-B6</f>
        <v>#NAME?</v>
      </c>
      <c r="E6" s="30" t="e">
        <f ca="1">D6*'02_Vốn &amp; mục tiêu'!B6</f>
        <v>#NAME?</v>
      </c>
      <c r="F6" t="e">
        <f t="shared" ref="F6:F11" ca="1" si="1">IF(ABS(D6)&gt;0.15,"⚠️ Lệch nhiều","")</f>
        <v>#NAME?</v>
      </c>
    </row>
    <row r="7" spans="1:6" ht="15" customHeight="1" x14ac:dyDescent="0.25">
      <c r="A7" t="s">
        <v>142</v>
      </c>
      <c r="B7" s="29" t="e">
        <f ca="1">'03_Phân bổ đề xuất'!B7</f>
        <v>#NAME?</v>
      </c>
      <c r="C7" s="34">
        <v>0.2</v>
      </c>
      <c r="D7" s="29" t="e">
        <f t="shared" ca="1" si="0"/>
        <v>#NAME?</v>
      </c>
      <c r="E7" s="30" t="e">
        <f ca="1">D7*'02_Vốn &amp; mục tiêu'!B6</f>
        <v>#NAME?</v>
      </c>
      <c r="F7" t="e">
        <f t="shared" ca="1" si="1"/>
        <v>#NAME?</v>
      </c>
    </row>
    <row r="8" spans="1:6" ht="15" customHeight="1" x14ac:dyDescent="0.25">
      <c r="A8" t="s">
        <v>146</v>
      </c>
      <c r="B8" s="29" t="e">
        <f ca="1">'03_Phân bổ đề xuất'!B8</f>
        <v>#NAME?</v>
      </c>
      <c r="C8" s="34">
        <v>0.45</v>
      </c>
      <c r="D8" s="29" t="e">
        <f t="shared" ca="1" si="0"/>
        <v>#NAME?</v>
      </c>
      <c r="E8" s="30" t="e">
        <f ca="1">D8*'02_Vốn &amp; mục tiêu'!B6</f>
        <v>#NAME?</v>
      </c>
      <c r="F8" t="e">
        <f ca="1">IF(C8&gt;0.7,"⚠️ Quá tập trung rủi ro",IF(ABS(D8)&gt;0.15,"⚠️ Lệch nhiều",""))</f>
        <v>#NAME?</v>
      </c>
    </row>
    <row r="9" spans="1:6" ht="15" customHeight="1" x14ac:dyDescent="0.25">
      <c r="A9" t="s">
        <v>149</v>
      </c>
      <c r="B9" s="29" t="e">
        <f ca="1">'03_Phân bổ đề xuất'!B9</f>
        <v>#NAME?</v>
      </c>
      <c r="C9" s="34">
        <v>0.12</v>
      </c>
      <c r="D9" s="29" t="e">
        <f t="shared" ca="1" si="0"/>
        <v>#NAME?</v>
      </c>
      <c r="E9" s="30" t="e">
        <f ca="1">D9*'02_Vốn &amp; mục tiêu'!B6</f>
        <v>#NAME?</v>
      </c>
      <c r="F9" t="e">
        <f t="shared" ca="1" si="1"/>
        <v>#NAME?</v>
      </c>
    </row>
    <row r="10" spans="1:6" ht="15" customHeight="1" x14ac:dyDescent="0.25">
      <c r="A10" t="s">
        <v>152</v>
      </c>
      <c r="B10" s="29" t="e">
        <f ca="1">'03_Phân bổ đề xuất'!B10</f>
        <v>#NAME?</v>
      </c>
      <c r="C10" s="34">
        <v>0.08</v>
      </c>
      <c r="D10" s="29" t="e">
        <f t="shared" ca="1" si="0"/>
        <v>#NAME?</v>
      </c>
      <c r="E10" s="30" t="e">
        <f ca="1">D10*'02_Vốn &amp; mục tiêu'!B6</f>
        <v>#NAME?</v>
      </c>
      <c r="F10" t="e">
        <f t="shared" ca="1" si="1"/>
        <v>#NAME?</v>
      </c>
    </row>
    <row r="11" spans="1:6" ht="15" customHeight="1" x14ac:dyDescent="0.25">
      <c r="A11" t="s">
        <v>155</v>
      </c>
      <c r="B11" s="29" t="e">
        <f ca="1">'03_Phân bổ đề xuất'!B11</f>
        <v>#NAME?</v>
      </c>
      <c r="C11" s="34">
        <v>0.05</v>
      </c>
      <c r="D11" s="29" t="e">
        <f t="shared" ca="1" si="0"/>
        <v>#NAME?</v>
      </c>
      <c r="E11" s="30" t="e">
        <f ca="1">D11*'02_Vốn &amp; mục tiêu'!B6</f>
        <v>#NAME?</v>
      </c>
      <c r="F11" t="e">
        <f t="shared" ca="1" si="1"/>
        <v>#NAME?</v>
      </c>
    </row>
    <row r="12" spans="1:6" ht="15" customHeight="1" x14ac:dyDescent="0.25">
      <c r="A12" s="35" t="s">
        <v>158</v>
      </c>
      <c r="B12" s="36" t="e">
        <f t="shared" ref="B12:E12" ca="1" si="2">SUM(B6:B11)</f>
        <v>#NAME?</v>
      </c>
      <c r="C12" s="36">
        <f t="shared" si="2"/>
        <v>1</v>
      </c>
      <c r="D12" s="36" t="e">
        <f t="shared" ca="1" si="0"/>
        <v>#NAME?</v>
      </c>
      <c r="E12" s="37" t="e">
        <f t="shared" ca="1" si="2"/>
        <v>#NAME?</v>
      </c>
    </row>
    <row r="14" spans="1:6" ht="15" customHeight="1" x14ac:dyDescent="0.25">
      <c r="A14" t="s">
        <v>166</v>
      </c>
    </row>
    <row r="15" spans="1:6" ht="15" customHeight="1" x14ac:dyDescent="0.25">
      <c r="A15" t="s">
        <v>167</v>
      </c>
      <c r="B15" s="29">
        <f>C12</f>
        <v>1</v>
      </c>
      <c r="C15" s="25" t="str">
        <f>IF(C12&lt;&gt;1,"⚠️ CẢNH BÁO: Tổng phải = 100%","✅ Hợp lệ")</f>
        <v>✅ Hợp lệ</v>
      </c>
    </row>
    <row r="16" spans="1:6" ht="15" customHeight="1" x14ac:dyDescent="0.25">
      <c r="A16" t="s">
        <v>168</v>
      </c>
      <c r="B16" s="25" t="e">
        <f ca="1">IF(ABS(D12)&lt;=0.05,"✅ Rất tốt - Sát với khuyến nghị",IF(ABS(D12)&lt;=0.15,"⚠️ Chấp nhận được - Có thể điều chỉnh","🚨 Lệch nhiều - Nên tái cân bằng ngay"))</f>
        <v>#NAME?</v>
      </c>
    </row>
    <row r="17" spans="1:2" ht="15" customHeight="1" x14ac:dyDescent="0.25">
      <c r="A17" t="s">
        <v>169</v>
      </c>
      <c r="B17" s="25" t="str">
        <f>IF(C6&lt;0.05,"⚠️ Thiếu thanh khoản - Rủi ro cao","✅ Đủ thanh khoản")</f>
        <v>✅ Đủ thanh khoản</v>
      </c>
    </row>
  </sheetData>
  <mergeCells count="2">
    <mergeCell ref="A1:F1"/>
    <mergeCell ref="A3:F3"/>
  </mergeCells>
  <pageMargins left="0.7" right="0.7" top="0.75" bottom="0.75" header="0.3" footer="0.3"/>
  <pageSetup orientation="portrait"/>
  <headerFooter>
    <oddHeader>&amp;L&amp;C&amp;R</oddHeader>
    <oddFooter>&amp;L&amp;C&amp;R</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A098-1664-CC09-82B8-890378FBF0CC}">
  <dimension ref="A1:E20"/>
  <sheetViews>
    <sheetView tabSelected="1" workbookViewId="0">
      <pane ySplit="5" topLeftCell="A6" activePane="bottomLeft" state="frozen"/>
      <selection pane="bottomLeft" activeCell="C22" sqref="C22"/>
    </sheetView>
  </sheetViews>
  <sheetFormatPr defaultColWidth="8.85546875" defaultRowHeight="15" customHeight="1" x14ac:dyDescent="0.25"/>
  <cols>
    <col min="1" max="1" width="28.5703125" customWidth="1"/>
    <col min="2" max="2" width="14.28515625" customWidth="1"/>
    <col min="3" max="5" width="18.5703125" customWidth="1"/>
  </cols>
  <sheetData>
    <row r="1" spans="1:5" ht="15" customHeight="1" x14ac:dyDescent="0.25">
      <c r="A1" s="58" t="s">
        <v>170</v>
      </c>
      <c r="B1" s="44"/>
      <c r="C1" s="44"/>
      <c r="D1" s="44"/>
      <c r="E1" s="44"/>
    </row>
    <row r="3" spans="1:5" ht="15" customHeight="1" x14ac:dyDescent="0.25">
      <c r="A3" s="44" t="s">
        <v>171</v>
      </c>
      <c r="B3" s="44"/>
      <c r="C3" s="44"/>
      <c r="D3" s="44"/>
      <c r="E3" s="44"/>
    </row>
    <row r="5" spans="1:5" ht="15" customHeight="1" x14ac:dyDescent="0.25">
      <c r="A5" s="7" t="s">
        <v>133</v>
      </c>
      <c r="B5" s="7" t="s">
        <v>134</v>
      </c>
      <c r="C5" s="7" t="s">
        <v>172</v>
      </c>
      <c r="D5" s="7" t="s">
        <v>173</v>
      </c>
      <c r="E5" s="7" t="s">
        <v>174</v>
      </c>
    </row>
    <row r="6" spans="1:5" ht="15" customHeight="1" x14ac:dyDescent="0.25">
      <c r="A6" t="s">
        <v>175</v>
      </c>
      <c r="B6" s="29" t="e">
        <f ca="1">'03_Phân bổ đề xuất'!B6</f>
        <v>#NAME?</v>
      </c>
      <c r="C6" s="29" t="e">
        <f ca="1">B6*1</f>
        <v>#NAME?</v>
      </c>
      <c r="D6" s="29" t="e">
        <f ca="1">B6*1</f>
        <v>#NAME?</v>
      </c>
      <c r="E6" s="29" t="e">
        <f t="shared" ref="E6:E7" ca="1" si="0">B6*1</f>
        <v>#NAME?</v>
      </c>
    </row>
    <row r="7" spans="1:5" ht="15" customHeight="1" x14ac:dyDescent="0.25">
      <c r="A7" t="s">
        <v>142</v>
      </c>
      <c r="B7" s="29" t="e">
        <f ca="1">'03_Phân bổ đề xuất'!B7</f>
        <v>#NAME?</v>
      </c>
      <c r="C7" s="29" t="e">
        <f ca="1">B7*1.05</f>
        <v>#NAME?</v>
      </c>
      <c r="D7" s="29" t="e">
        <f ca="1">B7*1.03</f>
        <v>#NAME?</v>
      </c>
      <c r="E7" s="29" t="e">
        <f t="shared" ca="1" si="0"/>
        <v>#NAME?</v>
      </c>
    </row>
    <row r="8" spans="1:5" ht="15" customHeight="1" x14ac:dyDescent="0.25">
      <c r="A8" t="s">
        <v>146</v>
      </c>
      <c r="B8" s="29" t="e">
        <f ca="1">'03_Phân bổ đề xuất'!B8</f>
        <v>#NAME?</v>
      </c>
      <c r="C8" s="29" t="e">
        <f ca="1">B8*1.25</f>
        <v>#NAME?</v>
      </c>
      <c r="D8" s="29" t="e">
        <f ca="1">B8*0.98</f>
        <v>#NAME?</v>
      </c>
      <c r="E8" s="29" t="e">
        <f ca="1">B8*0.65</f>
        <v>#NAME?</v>
      </c>
    </row>
    <row r="9" spans="1:5" ht="15" customHeight="1" x14ac:dyDescent="0.25">
      <c r="A9" t="s">
        <v>149</v>
      </c>
      <c r="B9" s="29" t="e">
        <f ca="1">'03_Phân bổ đề xuất'!B9</f>
        <v>#NAME?</v>
      </c>
      <c r="C9" s="29" t="e">
        <f ca="1">B9*1.15</f>
        <v>#NAME?</v>
      </c>
      <c r="D9" s="29" t="e">
        <f ca="1">B9*1.05</f>
        <v>#NAME?</v>
      </c>
      <c r="E9" s="29" t="e">
        <f ca="1">B9*0.85</f>
        <v>#NAME?</v>
      </c>
    </row>
    <row r="10" spans="1:5" ht="15" customHeight="1" x14ac:dyDescent="0.25">
      <c r="A10" t="s">
        <v>176</v>
      </c>
      <c r="B10" s="29" t="e">
        <f ca="1">'03_Phân bổ đề xuất'!B10</f>
        <v>#NAME?</v>
      </c>
      <c r="C10" s="29" t="e">
        <f ca="1">B10*1.1</f>
        <v>#NAME?</v>
      </c>
      <c r="D10" s="29" t="e">
        <f ca="1">B10*1.08</f>
        <v>#NAME?</v>
      </c>
      <c r="E10" s="29" t="e">
        <f ca="1">B10*1.05</f>
        <v>#NAME?</v>
      </c>
    </row>
    <row r="11" spans="1:5" ht="15" customHeight="1" x14ac:dyDescent="0.25">
      <c r="A11" t="s">
        <v>177</v>
      </c>
      <c r="B11" s="29" t="e">
        <f ca="1">'03_Phân bổ đề xuất'!B11</f>
        <v>#NAME?</v>
      </c>
      <c r="C11" s="29" t="e">
        <f ca="1">B11*1.5</f>
        <v>#NAME?</v>
      </c>
      <c r="D11" s="29" t="e">
        <f ca="1">B11*0.9</f>
        <v>#NAME?</v>
      </c>
      <c r="E11" s="29" t="e">
        <f ca="1">B11*0.4</f>
        <v>#NAME?</v>
      </c>
    </row>
    <row r="12" spans="1:5" ht="15" customHeight="1" x14ac:dyDescent="0.25">
      <c r="A12" s="61" t="s">
        <v>178</v>
      </c>
      <c r="B12" s="44"/>
      <c r="C12" s="38" t="e">
        <f t="shared" ref="C12:E12" ca="1" si="1">SUM(C6:C11)</f>
        <v>#NAME?</v>
      </c>
      <c r="D12" s="39" t="e">
        <f t="shared" ca="1" si="1"/>
        <v>#NAME?</v>
      </c>
      <c r="E12" s="40" t="e">
        <f t="shared" ca="1" si="1"/>
        <v>#NAME?</v>
      </c>
    </row>
    <row r="13" spans="1:5" ht="15" customHeight="1" x14ac:dyDescent="0.25">
      <c r="A13" s="62" t="s">
        <v>179</v>
      </c>
      <c r="B13" s="44"/>
      <c r="C13" s="41" t="e">
        <f t="shared" ref="C13:E13" ca="1" si="2">C12-1</f>
        <v>#NAME?</v>
      </c>
      <c r="D13" s="41" t="e">
        <f t="shared" ca="1" si="2"/>
        <v>#NAME?</v>
      </c>
      <c r="E13" s="41" t="e">
        <f t="shared" ca="1" si="2"/>
        <v>#NAME?</v>
      </c>
    </row>
    <row r="14" spans="1:5" ht="15" customHeight="1" x14ac:dyDescent="0.25">
      <c r="A14" s="44" t="s">
        <v>180</v>
      </c>
      <c r="B14" s="44"/>
      <c r="C14" s="42" t="e">
        <f ca="1">C13*'02_Vốn &amp; mục tiêu'!B6</f>
        <v>#NAME?</v>
      </c>
      <c r="D14" s="42" t="e">
        <f ca="1">D13*'02_Vốn &amp; mục tiêu'!B6</f>
        <v>#NAME?</v>
      </c>
      <c r="E14" s="42" t="e">
        <f ca="1">E13*'02_Vốn &amp; mục tiêu'!B6</f>
        <v>#NAME?</v>
      </c>
    </row>
    <row r="16" spans="1:5" ht="15" customHeight="1" x14ac:dyDescent="0.25">
      <c r="A16" t="s">
        <v>181</v>
      </c>
    </row>
    <row r="17" spans="1:3" ht="15" customHeight="1" x14ac:dyDescent="0.25">
      <c r="A17" t="s">
        <v>182</v>
      </c>
      <c r="B17" t="e">
        <f ca="1">TEXT(C13,"+0.0%")</f>
        <v>#NAME?</v>
      </c>
      <c r="C17" t="e">
        <f ca="1">"Danh mục tăng "&amp;TEXT(C14,"#,##0 VNĐ")</f>
        <v>#NAME?</v>
      </c>
    </row>
    <row r="18" spans="1:3" ht="15" customHeight="1" x14ac:dyDescent="0.25">
      <c r="A18" t="s">
        <v>183</v>
      </c>
      <c r="B18" t="e">
        <f ca="1">TEXT(E13,"0.0%")</f>
        <v>#NAME?</v>
      </c>
      <c r="C18" t="e">
        <f ca="1">"Danh mục giảm "&amp;TEXT(ABS(E14),"#,##0 VNĐ")</f>
        <v>#NAME?</v>
      </c>
    </row>
    <row r="19" spans="1:3" ht="15" customHeight="1" x14ac:dyDescent="0.25">
      <c r="A19" s="44" t="s">
        <v>184</v>
      </c>
      <c r="B19" s="44"/>
      <c r="C19" s="44"/>
    </row>
    <row r="20" spans="1:3" ht="15" customHeight="1" x14ac:dyDescent="0.25">
      <c r="A20" s="60" t="e">
        <f ca="1">IF(E13&gt;-0.1,"✅ Thấp: Mất dưới 10%",IF(E13&gt;-0.2,"⚠️ Trung bình: Mất 10-20%",IF(E13&gt;-0.3,"🔴 Cao: Mất 20-30%","🚨 Rất cao: Mất trên 30%")))</f>
        <v>#NAME?</v>
      </c>
      <c r="B20" s="44"/>
      <c r="C20" s="44"/>
    </row>
  </sheetData>
  <mergeCells count="7">
    <mergeCell ref="A19:C19"/>
    <mergeCell ref="A20:C20"/>
    <mergeCell ref="A1:E1"/>
    <mergeCell ref="A3:E3"/>
    <mergeCell ref="A12:B12"/>
    <mergeCell ref="A13:B13"/>
    <mergeCell ref="A14:B14"/>
  </mergeCells>
  <pageMargins left="0.7" right="0.7" top="0.75" bottom="0.75" header="0.3" footer="0.3"/>
  <pageSetup orientation="portrait"/>
  <headerFooter>
    <oddHeader>&amp;L&amp;C&amp;R</oddHeader>
    <oddFooter>&amp;L&amp;C&amp;R</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8E8E8-060E-BB14-BEC5-B47F8D400A05}">
  <dimension ref="A1:F11"/>
  <sheetViews>
    <sheetView workbookViewId="0">
      <selection sqref="A1:F1"/>
    </sheetView>
  </sheetViews>
  <sheetFormatPr defaultColWidth="8.85546875" defaultRowHeight="15" customHeight="1" x14ac:dyDescent="0.25"/>
  <sheetData>
    <row r="1" spans="1:6" ht="15" customHeight="1" x14ac:dyDescent="0.25">
      <c r="A1" s="58" t="s">
        <v>185</v>
      </c>
      <c r="B1" s="44"/>
      <c r="C1" s="44"/>
      <c r="D1" s="44"/>
      <c r="E1" s="44"/>
      <c r="F1" s="44"/>
    </row>
    <row r="3" spans="1:6" ht="15" customHeight="1" x14ac:dyDescent="0.25">
      <c r="A3" t="s">
        <v>186</v>
      </c>
    </row>
    <row r="4" spans="1:6" ht="15" customHeight="1" x14ac:dyDescent="0.25">
      <c r="A4" t="s">
        <v>187</v>
      </c>
    </row>
    <row r="10" spans="1:6" ht="15" customHeight="1" x14ac:dyDescent="0.25">
      <c r="A10" t="s">
        <v>188</v>
      </c>
    </row>
    <row r="11" spans="1:6" ht="15" customHeight="1" x14ac:dyDescent="0.25">
      <c r="A11" t="s">
        <v>189</v>
      </c>
    </row>
  </sheetData>
  <mergeCells count="1">
    <mergeCell ref="A1:F1"/>
  </mergeCells>
  <pageMargins left="0.7" right="0.7" top="0.75" bottom="0.75" header="0.3" footer="0.3"/>
  <pageSetup orientation="portrait"/>
  <headerFooter>
    <oddHeader>&amp;L&amp;C&amp;R</oddHeader>
    <oddFooter>&amp;L&amp;C&amp;R</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39B54-CE6F-116D-6122-9EAB4033CA75}">
  <dimension ref="A1:D24"/>
  <sheetViews>
    <sheetView workbookViewId="0">
      <selection activeCell="B7" sqref="B7"/>
    </sheetView>
  </sheetViews>
  <sheetFormatPr defaultColWidth="8.85546875" defaultRowHeight="15" customHeight="1" x14ac:dyDescent="0.25"/>
  <cols>
    <col min="1" max="1" width="35.7109375" customWidth="1"/>
    <col min="2" max="4" width="21.42578125" customWidth="1"/>
  </cols>
  <sheetData>
    <row r="1" spans="1:4" ht="15" customHeight="1" x14ac:dyDescent="0.25">
      <c r="A1" s="58" t="s">
        <v>190</v>
      </c>
      <c r="B1" s="44"/>
      <c r="C1" s="44"/>
      <c r="D1" s="44"/>
    </row>
    <row r="3" spans="1:4" ht="15" customHeight="1" x14ac:dyDescent="0.25">
      <c r="A3" s="64" t="s">
        <v>191</v>
      </c>
      <c r="B3" s="44"/>
      <c r="C3" s="44"/>
      <c r="D3" s="44"/>
    </row>
    <row r="5" spans="1:4" ht="15" customHeight="1" x14ac:dyDescent="0.25">
      <c r="A5" t="s">
        <v>129</v>
      </c>
      <c r="B5" s="10" t="e">
        <f ca="1">'01_Khẩu vị rủi ro'!B12</f>
        <v>#NAME?</v>
      </c>
    </row>
    <row r="6" spans="1:4" ht="15" customHeight="1" x14ac:dyDescent="0.25">
      <c r="A6" t="s">
        <v>192</v>
      </c>
      <c r="B6" s="25" t="e">
        <f>TEXT('02_Vốn &amp; mục tiêu'!B6,"#,##0 VNĐ")</f>
        <v>#VALUE!</v>
      </c>
    </row>
    <row r="7" spans="1:4" ht="15" customHeight="1" x14ac:dyDescent="0.25">
      <c r="A7" t="s">
        <v>193</v>
      </c>
      <c r="B7" s="25" t="str">
        <f>'02_Vốn &amp; mục tiêu'!B8</f>
        <v>Tăng trưởng ổn định</v>
      </c>
    </row>
    <row r="9" spans="1:4" ht="15" customHeight="1" x14ac:dyDescent="0.25">
      <c r="A9" t="s">
        <v>194</v>
      </c>
      <c r="B9" s="65" t="e">
        <f ca="1">IF('04_Kiểm tra rủi ro'!C12=0,"⚠️ Bạn chưa nhập danh mục hiện tại vào Sheet '04_Kiểm tra rủi ro'",IF(ABS('04_Kiểm tra rủi ro'!D12)&lt;=0.1,"✅ Danh mục của bạn PHÙ HỢP với khẩu vị rủi ro","⚠️ Danh mục của bạn LỆCH KHỎI khẩu vị rủi ro - Cần điều chỉnh"))</f>
        <v>#NAME?</v>
      </c>
      <c r="C9" s="44"/>
      <c r="D9" s="44"/>
    </row>
    <row r="11" spans="1:4" ht="15" customHeight="1" x14ac:dyDescent="0.25">
      <c r="A11" s="64" t="s">
        <v>195</v>
      </c>
      <c r="B11" s="44"/>
      <c r="C11" s="44"/>
      <c r="D11" s="44"/>
    </row>
    <row r="13" spans="1:4" ht="15" customHeight="1" x14ac:dyDescent="0.25">
      <c r="A13" t="str">
        <f>IF('04_Kiểm tra rủi ro'!C12=0,"","Cổ phiếu:")</f>
        <v>Cổ phiếu:</v>
      </c>
      <c r="B13" s="44" t="e">
        <f ca="1">IF('04_Kiểm tra rủi ro'!C12=0,"",IF('04_Kiểm tra rủi ro'!D8&lt;-0.05,"📈 Cân nhắc TĂNG tỷ trọng cổ phiếu để tối ưu tăng trưởng",IF('04_Kiểm tra rủi ro'!D8&gt;0.05,"📉 Cân nhắc GIẢM cổ phiếu để hạn chế rủi ro","✅ Tỷ trọng hợp lý")))</f>
        <v>#NAME?</v>
      </c>
      <c r="C13" s="44"/>
      <c r="D13" s="44"/>
    </row>
    <row r="14" spans="1:4" ht="15" customHeight="1" x14ac:dyDescent="0.25">
      <c r="A14" t="str">
        <f>IF('04_Kiểm tra rủi ro'!C12=0,"","Tài sản rủi ro cao:")</f>
        <v>Tài sản rủi ro cao:</v>
      </c>
      <c r="B14" s="44" t="e">
        <f ca="1">IF('04_Kiểm tra rủi ro'!C12=0,"",IF('04_Kiểm tra rủi ro'!C11&gt;0.15,"⚠️ Giảm tài sản rủi ro cao xuống dưới 15% để bảo vệ vốn",IF('04_Kiểm tra rủi ro'!D11&gt;0.08,"⚠️ Tỷ trọng rủi ro cao lệch nhiều - Cân nhắc giảm","✅ Mức độ rủi ro hợp lý")))</f>
        <v>#NAME?</v>
      </c>
      <c r="C14" s="44"/>
      <c r="D14" s="44"/>
    </row>
    <row r="15" spans="1:4" ht="15" customHeight="1" x14ac:dyDescent="0.25">
      <c r="A15" t="str">
        <f>IF('04_Kiểm tra rủi ro'!C12=0,"","Thanh khoản:")</f>
        <v>Thanh khoản:</v>
      </c>
      <c r="B15" s="44" t="str">
        <f>IF('04_Kiểm tra rủi ro'!C12=0,"",IF('04_Kiểm tra rủi ro'!C6&lt;0.1,"💰 Tăng tiền mặt lên ít nhất 10% để đảm bảo thanh khoản và phòng ngừa rủi ro","✅ Thanh khoản đầy đủ"))</f>
        <v>✅ Thanh khoản đầy đủ</v>
      </c>
      <c r="C15" s="44"/>
      <c r="D15" s="44"/>
    </row>
    <row r="16" spans="1:4" ht="15" customHeight="1" x14ac:dyDescent="0.25">
      <c r="A16" t="str">
        <f>IF('04_Kiểm tra rủi ro'!C12=0,"","Trái phiếu:")</f>
        <v>Trái phiếu:</v>
      </c>
      <c r="B16" s="44" t="e">
        <f ca="1">IF('04_Kiểm tra rủi ro'!C12=0,"",IF('04_Kiểm tra rủi ro'!D7&lt;-0.1,"📜 Tăng trái phiếu để cân bằng danh mục và tạo thu nhập ổn định",IF('04_Kiểm tra rủi ro'!D7&gt;0.1,"Giảm trái phiếu nếu muốn tăng tiềm năng lợi nhuận","✅ Tỷ trọng hợp lý")))</f>
        <v>#NAME?</v>
      </c>
      <c r="C16" s="44"/>
      <c r="D16" s="44"/>
    </row>
    <row r="18" spans="1:4" ht="15" customHeight="1" x14ac:dyDescent="0.25">
      <c r="A18" s="64" t="s">
        <v>196</v>
      </c>
      <c r="B18" s="44"/>
      <c r="C18" s="44"/>
      <c r="D18" s="44"/>
    </row>
    <row r="20" spans="1:4" ht="15" customHeight="1" x14ac:dyDescent="0.25">
      <c r="A20" t="s">
        <v>197</v>
      </c>
      <c r="B20" s="44" t="s">
        <v>198</v>
      </c>
      <c r="C20" s="44"/>
      <c r="D20" s="44"/>
    </row>
    <row r="21" spans="1:4" ht="15" customHeight="1" x14ac:dyDescent="0.25">
      <c r="A21" t="s">
        <v>199</v>
      </c>
      <c r="B21" s="44" t="s">
        <v>200</v>
      </c>
      <c r="C21" s="44"/>
      <c r="D21" s="44"/>
    </row>
    <row r="22" spans="1:4" ht="15" customHeight="1" x14ac:dyDescent="0.25">
      <c r="A22" t="s">
        <v>201</v>
      </c>
      <c r="B22" s="44" t="s">
        <v>202</v>
      </c>
      <c r="C22" s="44"/>
      <c r="D22" s="44"/>
    </row>
    <row r="24" spans="1:4" ht="15" customHeight="1" x14ac:dyDescent="0.25">
      <c r="A24" t="s">
        <v>203</v>
      </c>
      <c r="B24" s="63" t="s">
        <v>204</v>
      </c>
      <c r="C24" s="44"/>
      <c r="D24" s="44"/>
    </row>
  </sheetData>
  <mergeCells count="13">
    <mergeCell ref="A1:D1"/>
    <mergeCell ref="A3:D3"/>
    <mergeCell ref="B9:D9"/>
    <mergeCell ref="A11:D11"/>
    <mergeCell ref="B13:D13"/>
    <mergeCell ref="B21:D21"/>
    <mergeCell ref="B22:D22"/>
    <mergeCell ref="B24:D24"/>
    <mergeCell ref="B14:D14"/>
    <mergeCell ref="B15:D15"/>
    <mergeCell ref="B16:D16"/>
    <mergeCell ref="A18:D18"/>
    <mergeCell ref="B20:D20"/>
  </mergeCells>
  <pageMargins left="0.7" right="0.7" top="0.75" bottom="0.75" header="0.3" footer="0.3"/>
  <pageSetup orientation="portrait"/>
  <headerFooter>
    <oddHeader>&amp;L&amp;C&amp;R</oddHeader>
    <oddFooter>&amp;L&amp;C&amp;R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HƯỚNG DẪN SỬ DỤNG</vt:lpstr>
      <vt:lpstr>00_Triết lý đầu tư</vt:lpstr>
      <vt:lpstr>01_Khẩu vị rủi ro</vt:lpstr>
      <vt:lpstr>02_Vốn &amp; mục tiêu</vt:lpstr>
      <vt:lpstr>03_Phân bổ đề xuất</vt:lpstr>
      <vt:lpstr>04_Kiểm tra rủi ro</vt:lpstr>
      <vt:lpstr>05_Kịch bản thị trường</vt:lpstr>
      <vt:lpstr>06_Trực quan hóa</vt:lpstr>
      <vt:lpstr>07_Góc nhìn Đồng Cố Vấn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Hanh</cp:lastModifiedBy>
  <dcterms:created xsi:type="dcterms:W3CDTF">2026-01-16T06:09:21Z</dcterms:created>
  <dcterms:modified xsi:type="dcterms:W3CDTF">2026-03-06T08:32:55Z</dcterms:modified>
</cp:coreProperties>
</file>